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46"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收益法" sheetId="15" r:id="rId35"/>
    <sheet name="住宅案例"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4">不动产收益法!$A$1:$F$43</definedName>
    <definedName name="_xlnm.Print_Area" localSheetId="15">估价对象房地状况!$A$1:$G$24</definedName>
    <definedName name="_xlnm.Print_Area" localSheetId="13">'数据-汇总表'!$A$1:$I$32</definedName>
    <definedName name="_xlnm.Print_Area" localSheetId="10">'数据-基础表'!$A$1:$AD$13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A27" i="9"/>
  <c r="C10" i="12"/>
  <c r="C8" i="12"/>
  <c r="I33" i="21"/>
  <c r="G33" i="21"/>
  <c r="E33" i="21"/>
  <c r="C33" i="21"/>
  <c r="I11" i="21"/>
  <c r="G11" i="21"/>
  <c r="E11" i="21"/>
  <c r="E47" i="21"/>
  <c r="E59" i="21"/>
  <c r="F59" i="21"/>
  <c r="G59" i="21"/>
  <c r="H59" i="21"/>
  <c r="I59" i="21"/>
  <c r="J59" i="21"/>
  <c r="K59" i="21"/>
  <c r="L59" i="21"/>
  <c r="M59" i="21"/>
  <c r="N59" i="21"/>
  <c r="O59" i="21"/>
  <c r="D59" i="21"/>
  <c r="I5" i="21"/>
  <c r="G5" i="21"/>
  <c r="E5" i="21"/>
  <c r="E7" i="21"/>
  <c r="I48" i="39"/>
  <c r="R13" i="69"/>
  <c r="Q13" i="69"/>
  <c r="I40" i="39"/>
  <c r="I13" i="39"/>
  <c r="I9" i="39"/>
  <c r="I7" i="39"/>
  <c r="G40" i="39"/>
  <c r="G48" i="39"/>
  <c r="G13" i="39"/>
  <c r="G9" i="39"/>
  <c r="G7" i="39"/>
  <c r="R12" i="69"/>
  <c r="Q12" i="69"/>
  <c r="D73" i="39"/>
  <c r="E73" i="39"/>
  <c r="F73" i="39"/>
  <c r="G73" i="39"/>
  <c r="H73" i="39"/>
  <c r="I73" i="39"/>
  <c r="J73" i="39"/>
  <c r="K73" i="39"/>
  <c r="L73" i="39"/>
  <c r="M73" i="39"/>
  <c r="N73" i="39"/>
  <c r="Q8" i="69"/>
  <c r="P8" i="69"/>
  <c r="E40" i="39"/>
  <c r="E48" i="39"/>
  <c r="C40" i="39"/>
  <c r="P7" i="69"/>
  <c r="E13" i="39"/>
  <c r="E9" i="39"/>
  <c r="E7" i="39"/>
  <c r="R8" i="69"/>
  <c r="P9" i="69"/>
  <c r="P4" i="69"/>
  <c r="Q4" i="69"/>
  <c r="C14" i="68"/>
  <c r="I6" i="65"/>
  <c r="B22" i="1"/>
  <c r="C2" i="65"/>
  <c r="I1" i="65"/>
  <c r="F23" i="15"/>
  <c r="B3" i="15"/>
  <c r="D8" i="12"/>
  <c r="F15" i="68"/>
  <c r="E15" i="68"/>
  <c r="F14" i="68"/>
  <c r="F13" i="68"/>
  <c r="E13" i="68"/>
  <c r="E14" i="68"/>
  <c r="R4" i="69"/>
  <c r="L6" i="1"/>
  <c r="K7" i="1"/>
  <c r="M7" i="1"/>
  <c r="O7" i="1"/>
  <c r="P7" i="1"/>
  <c r="K6" i="1"/>
  <c r="M6" i="1"/>
  <c r="O6" i="1"/>
  <c r="P6" i="1"/>
  <c r="A8"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L18" i="12"/>
  <c r="C9" i="12"/>
  <c r="D9" i="12"/>
  <c r="G3" i="69"/>
  <c r="G4" i="69"/>
  <c r="G5" i="69"/>
  <c r="G6" i="69"/>
  <c r="G7" i="69"/>
  <c r="G8" i="69"/>
  <c r="G9" i="69"/>
  <c r="G10" i="69"/>
  <c r="G11" i="69"/>
  <c r="G12" i="69"/>
  <c r="G13" i="69"/>
  <c r="G14" i="69"/>
  <c r="G15" i="69"/>
  <c r="G16" i="69"/>
  <c r="G17" i="69"/>
  <c r="G18" i="69"/>
  <c r="G2" i="69"/>
  <c r="B55" i="1"/>
  <c r="B56" i="1"/>
  <c r="B57" i="1"/>
  <c r="B58" i="1"/>
  <c r="B59" i="1"/>
  <c r="B54" i="1"/>
  <c r="F20" i="6"/>
  <c r="F19" i="6"/>
  <c r="AD13" i="3"/>
  <c r="K13" i="3"/>
  <c r="I13" i="3"/>
  <c r="A3" i="3"/>
  <c r="D3" i="4"/>
  <c r="D6" i="68"/>
  <c r="D4" i="68"/>
  <c r="B6" i="68"/>
  <c r="AB6" i="59"/>
  <c r="AB5" i="59"/>
  <c r="AA6" i="59"/>
  <c r="AA5" i="59"/>
  <c r="Y6" i="59"/>
  <c r="Y5" i="59"/>
  <c r="X6" i="59"/>
  <c r="X5" i="59"/>
  <c r="AH5" i="59"/>
  <c r="AG5" i="59"/>
  <c r="AE5" i="59"/>
  <c r="AF5" i="59"/>
  <c r="AD5" i="59"/>
  <c r="Q5" i="59"/>
  <c r="Q6" i="59"/>
  <c r="P5" i="59"/>
  <c r="P6" i="59"/>
  <c r="O5" i="59"/>
  <c r="O6" i="59"/>
  <c r="Z5" i="59"/>
  <c r="N5" i="59"/>
  <c r="N6" i="59"/>
  <c r="F6" i="59"/>
  <c r="F5" i="59"/>
  <c r="E6" i="59"/>
  <c r="E5" i="59"/>
  <c r="C6" i="59"/>
  <c r="C5" i="59"/>
  <c r="D5" i="59"/>
  <c r="B6" i="59"/>
  <c r="B5" i="59"/>
  <c r="AH6" i="59"/>
  <c r="AG6" i="59"/>
  <c r="AE6" i="59"/>
  <c r="AF6" i="59"/>
  <c r="AD6" i="59"/>
  <c r="Q7" i="59"/>
  <c r="Q8" i="59"/>
  <c r="P7" i="59"/>
  <c r="P8" i="59"/>
  <c r="O7" i="59"/>
  <c r="O8" i="59"/>
  <c r="Z6" i="59"/>
  <c r="N7" i="59"/>
  <c r="N8" i="59"/>
  <c r="F8" i="59"/>
  <c r="F7" i="59"/>
  <c r="E8" i="59"/>
  <c r="E7" i="59"/>
  <c r="C8" i="59"/>
  <c r="C7" i="59"/>
  <c r="D6" i="59"/>
  <c r="B8" i="59"/>
  <c r="B7"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c r="AF3" i="59"/>
  <c r="I3" i="59"/>
  <c r="AH10" i="59"/>
  <c r="AG10" i="59"/>
  <c r="AE10" i="59"/>
  <c r="AF10" i="59"/>
  <c r="AD10" i="59"/>
  <c r="Q10" i="59"/>
  <c r="Q11" i="59"/>
  <c r="P10" i="59"/>
  <c r="P11" i="59"/>
  <c r="AA10" i="59"/>
  <c r="O10" i="59"/>
  <c r="O11" i="59"/>
  <c r="N10" i="59"/>
  <c r="N11" i="59"/>
  <c r="X10" i="59"/>
  <c r="AH11" i="59"/>
  <c r="AG11" i="59"/>
  <c r="AE11" i="59"/>
  <c r="AF11" i="59"/>
  <c r="AD11" i="59"/>
  <c r="Q12" i="59"/>
  <c r="P12" i="59"/>
  <c r="O12" i="59"/>
  <c r="N12" i="59"/>
  <c r="M19" i="46"/>
  <c r="J50" i="15"/>
  <c r="J51" i="15"/>
  <c r="D14" i="59"/>
  <c r="AH12" i="59"/>
  <c r="AG12" i="59"/>
  <c r="AE12" i="59"/>
  <c r="AF12" i="59"/>
  <c r="AD12" i="59"/>
  <c r="AE13" i="59"/>
  <c r="AF13" i="59"/>
  <c r="AG13" i="59"/>
  <c r="AH13" i="59"/>
  <c r="AD13" i="59"/>
  <c r="Q13" i="59"/>
  <c r="AB12" i="59"/>
  <c r="P13" i="59"/>
  <c r="AA12" i="59"/>
  <c r="O13" i="59"/>
  <c r="Y12" i="59"/>
  <c r="Z12" i="59"/>
  <c r="N13" i="59"/>
  <c r="X12" i="59"/>
  <c r="N14" i="59"/>
  <c r="Q14" i="59"/>
  <c r="P14" i="59"/>
  <c r="O14"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5" i="59"/>
  <c r="AB13" i="59"/>
  <c r="O15" i="59"/>
  <c r="Y13" i="59"/>
  <c r="Z13" i="59"/>
  <c r="N16" i="59"/>
  <c r="O16" i="59"/>
  <c r="P16" i="59"/>
  <c r="Q16" i="59"/>
  <c r="N15" i="59"/>
  <c r="X13" i="59"/>
  <c r="P15"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B13" i="59"/>
  <c r="B12" i="59"/>
  <c r="B11" i="59"/>
  <c r="E16" i="59"/>
  <c r="E15" i="59"/>
  <c r="E13" i="59"/>
  <c r="E12" i="59"/>
  <c r="E11" i="59"/>
  <c r="E10" i="59"/>
  <c r="E9" i="59"/>
  <c r="C16" i="59"/>
  <c r="F16" i="59"/>
  <c r="F15" i="59"/>
  <c r="F13"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13" i="59"/>
  <c r="C12" i="59"/>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7" i="59"/>
  <c r="P17" i="59"/>
  <c r="O17" i="59"/>
  <c r="N17" i="59"/>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O18" i="59"/>
  <c r="C19" i="59"/>
  <c r="N18"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c r="E9" i="52"/>
  <c r="C4" i="4"/>
  <c r="G66" i="36"/>
  <c r="J18" i="36"/>
  <c r="AE8" i="1"/>
  <c r="AE6" i="1"/>
  <c r="W18" i="36"/>
  <c r="AC18" i="36"/>
  <c r="AG6" i="1"/>
  <c r="D12" i="11"/>
  <c r="C12" i="11"/>
  <c r="L20" i="6"/>
  <c r="AZ5" i="3"/>
  <c r="E3" i="6"/>
  <c r="D16" i="43"/>
  <c r="C16" i="43"/>
  <c r="L19" i="6"/>
  <c r="L27" i="6"/>
  <c r="B21" i="55"/>
  <c r="B72" i="63"/>
  <c r="B20" i="55"/>
  <c r="B70" i="63"/>
  <c r="K20" i="6"/>
  <c r="S7" i="1"/>
  <c r="K19" i="6"/>
  <c r="S6" i="1"/>
  <c r="K21" i="6"/>
  <c r="S8" i="1"/>
  <c r="S9" i="1"/>
  <c r="E6" i="6"/>
  <c r="L38" i="9"/>
  <c r="B14" i="66"/>
  <c r="B1" i="66"/>
  <c r="C45" i="9"/>
  <c r="H14" i="66"/>
  <c r="B7" i="66"/>
  <c r="C7" i="66"/>
  <c r="R9" i="1"/>
  <c r="M20" i="6"/>
  <c r="I20" i="6"/>
  <c r="H20" i="6"/>
  <c r="D20" i="6"/>
  <c r="R20" i="6"/>
  <c r="R7" i="1"/>
  <c r="M21" i="6"/>
  <c r="I21" i="6"/>
  <c r="H21" i="6"/>
  <c r="R21" i="6"/>
  <c r="R8" i="1"/>
  <c r="M19" i="6"/>
  <c r="I19" i="6"/>
  <c r="H19" i="6"/>
  <c r="D19" i="6"/>
  <c r="R19" i="6"/>
  <c r="R6" i="1"/>
  <c r="R49" i="39"/>
  <c r="T4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C11" i="59"/>
  <c r="D11" i="59"/>
  <c r="U9" i="59"/>
  <c r="F12" i="59"/>
  <c r="F11" i="59"/>
  <c r="F10" i="59"/>
  <c r="F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E14" i="6"/>
  <c r="E15" i="6"/>
  <c r="E13" i="6"/>
  <c r="E12" i="6"/>
  <c r="E10" i="6"/>
  <c r="E11" i="6"/>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10" i="59"/>
  <c r="C9" i="59"/>
  <c r="T9" i="59"/>
  <c r="B6" i="52"/>
  <c r="E7" i="52"/>
  <c r="E6" i="52"/>
  <c r="E4" i="52"/>
  <c r="B7" i="52"/>
  <c r="P21" i="46"/>
  <c r="B10" i="59"/>
  <c r="B9" i="59"/>
  <c r="S9" i="59"/>
  <c r="D10" i="59"/>
  <c r="P22" i="46"/>
  <c r="P23" i="46"/>
  <c r="P25" i="46"/>
  <c r="B73" i="39"/>
  <c r="P24" i="46"/>
  <c r="B68" i="40"/>
  <c r="E22" i="52"/>
  <c r="B22" i="52"/>
  <c r="B10" i="52"/>
  <c r="B11" i="52"/>
  <c r="B4" i="52"/>
  <c r="E11"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21" i="6"/>
  <c r="D25" i="6"/>
  <c r="D10" i="6"/>
  <c r="D13"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C19" i="46"/>
  <c r="R24" i="6"/>
  <c r="D16" i="6"/>
  <c r="D30" i="6"/>
  <c r="R22" i="6"/>
  <c r="R23" i="6"/>
  <c r="R25" i="6"/>
  <c r="D27" i="6"/>
  <c r="M27" i="6"/>
  <c r="D7" i="66"/>
  <c r="D6" i="66"/>
  <c r="D8" i="6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AA9" i="39"/>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B7" i="67"/>
  <c r="E7" i="67"/>
  <c r="C14" i="43"/>
  <c r="C18" i="43"/>
  <c r="E3" i="67"/>
  <c r="B2" i="67"/>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F7" i="67"/>
  <c r="C18" i="44"/>
  <c r="M19" i="44"/>
  <c r="F13" i="44"/>
  <c r="C12" i="44"/>
  <c r="C7" i="44"/>
  <c r="C40" i="44"/>
  <c r="L52" i="44"/>
  <c r="L58" i="44"/>
  <c r="L61" i="44"/>
  <c r="L47" i="44"/>
  <c r="C19" i="43"/>
  <c r="C25" i="43"/>
  <c r="C24" i="43"/>
  <c r="C21" i="44"/>
  <c r="E4" i="67"/>
  <c r="F17" i="11"/>
  <c r="C17" i="11"/>
  <c r="C19" i="11"/>
  <c r="Q75" i="44"/>
  <c r="Q62" i="44"/>
  <c r="Q75" i="15"/>
  <c r="Q62" i="15"/>
  <c r="C34" i="44"/>
  <c r="N43" i="9"/>
  <c r="G22" i="9"/>
  <c r="Q63" i="44"/>
  <c r="Q76" i="44"/>
  <c r="Q74" i="15"/>
  <c r="Q61" i="15"/>
  <c r="J18" i="15"/>
  <c r="P28" i="46"/>
  <c r="O28" i="46"/>
  <c r="M28" i="46"/>
  <c r="N28" i="46"/>
  <c r="C48" i="15"/>
  <c r="Q54" i="44"/>
  <c r="F1" i="44"/>
  <c r="J8" i="44"/>
  <c r="M13" i="44"/>
  <c r="J12" i="44"/>
  <c r="Q53" i="15"/>
  <c r="B4" i="67"/>
  <c r="B3" i="67"/>
  <c r="J24" i="15"/>
  <c r="C52" i="15"/>
  <c r="C47" i="15"/>
  <c r="J20" i="44"/>
  <c r="J7" i="44"/>
  <c r="C35" i="9"/>
  <c r="F42" i="9"/>
  <c r="O38" i="9"/>
  <c r="C33" i="9"/>
  <c r="O43" i="9"/>
  <c r="C34" i="9"/>
  <c r="C20" i="11"/>
  <c r="C21" i="11"/>
  <c r="C22" i="11"/>
  <c r="C23" i="11"/>
  <c r="B2" i="11"/>
  <c r="C22" i="44"/>
  <c r="F21" i="43"/>
  <c r="F26" i="44"/>
  <c r="C26" i="44"/>
  <c r="C25" i="44"/>
  <c r="Q69"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<sst xmlns="http://schemas.openxmlformats.org/spreadsheetml/2006/main" count="7248" uniqueCount="3246">
  <si>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</si>
  <si>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</si>
  <si>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</si>
  <si>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</si>
  <si>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</si>
  <si>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</si>
  <si>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</si>
  <si>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</si>
  <si>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</si>
  <si>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</si>
  <si>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</si>
  <si>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</si>
  <si>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</si>
  <si>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</si>
  <si>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</si>
  <si>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</si>
  <si>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</si>
  <si>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</si>
  <si>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</si>
  <si>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</si>
  <si>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</si>
  <si>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</si>
  <si>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</si>
  <si>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</si>
  <si>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</si>
  <si>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</si>
  <si>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</si>
  <si>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</si>
  <si>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</si>
  <si>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</si>
  <si>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</si>
  <si>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</si>
  <si>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</si>
  <si>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</si>
  <si>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</si>
  <si>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</si>
  <si>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</si>
  <si>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</si>
  <si>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</si>
  <si>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</si>
  <si>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</si>
  <si>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</si>
  <si>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</si>
  <si>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</si>
  <si>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</si>
  <si>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</si>
  <si>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</si>
  <si>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</si>
  <si>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</si>
  <si>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</si>
  <si>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</si>
  <si>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</si>
  <si>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</si>
  <si>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</si>
  <si>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</si>
  <si>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</si>
  <si>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</si>
  <si>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</si>
  <si>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</si>
  <si>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</si>
  <si>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</si>
  <si>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</si>
  <si>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</si>
  <si>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</si>
  <si>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</si>
  <si>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</si>
  <si>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</si>
  <si>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</si>
  <si>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</si>
  <si>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</si>
  <si>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</si>
  <si>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</si>
  <si>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</si>
  <si>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</si>
  <si>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</si>
  <si>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</si>
  <si>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</si>
  <si>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</si>
  <si>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</si>
  <si>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</si>
  <si>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</si>
  <si>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</si>
  <si>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</si>
  <si>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</si>
  <si>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</si>
  <si>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</si>
  <si>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</si>
  <si>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</si>
  <si>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</si>
  <si>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</si>
  <si>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</si>
  <si>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</si>
  <si>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</si>
  <si>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</si>
  <si>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</si>
  <si>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</si>
  <si>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</si>
  <si>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</si>
  <si>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</si>
  <si>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</si>
  <si>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</si>
  <si>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</si>
  <si>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</si>
  <si>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</si>
  <si>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</si>
  <si>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</si>
  <si>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</si>
  <si>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</si>
  <si>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</si>
  <si>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</si>
  <si>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</si>
  <si>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</si>
  <si>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</si>
  <si>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</si>
  <si>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</si>
  <si>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</si>
  <si>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</si>
  <si>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</si>
  <si>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</si>
  <si>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</si>
  <si>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</si>
  <si>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</si>
  <si>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</si>
  <si>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</si>
  <si>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</si>
  <si>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</si>
  <si>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</si>
  <si>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</si>
  <si>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</si>
  <si>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</si>
  <si>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</si>
  <si>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</si>
  <si>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</si>
  <si>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</si>
  <si>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</si>
  <si>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</si>
  <si>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</si>
  <si>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</si>
  <si>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</si>
  <si>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</si>
  <si>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</si>
  <si>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</si>
  <si>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</si>
  <si>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</si>
  <si>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</si>
  <si>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</si>
  <si>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</si>
  <si>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</si>
  <si>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</si>
  <si>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</si>
  <si>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</si>
  <si>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</si>
  <si>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</si>
  <si>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</si>
  <si>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</si>
  <si>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</si>
  <si>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</si>
  <si>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</si>
  <si>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</si>
  <si>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</si>
  <si>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</si>
  <si>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</si>
  <si>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</si>
  <si>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</si>
  <si>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</si>
  <si>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</si>
  <si>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</si>
  <si>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</si>
  <si>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</si>
  <si>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</si>
  <si>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</si>
  <si>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</si>
  <si>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</si>
  <si>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</si>
  <si>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</si>
  <si>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</si>
  <si>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</si>
  <si>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</si>
  <si>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</si>
  <si>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</si>
  <si>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</si>
  <si>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</si>
  <si>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</si>
  <si>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</si>
  <si>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</si>
  <si>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</si>
  <si>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</si>
  <si>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</si>
  <si>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</si>
  <si>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</si>
  <si>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</si>
  <si>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</si>
  <si>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</si>
  <si>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</si>
  <si>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</si>
  <si>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</si>
  <si>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</si>
  <si>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</si>
  <si>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</si>
  <si>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</si>
  <si>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</si>
  <si>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</si>
  <si>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</si>
  <si>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</si>
  <si>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</si>
  <si>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</si>
  <si>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</si>
  <si>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</si>
  <si>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</si>
  <si>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</si>
  <si>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</si>
  <si>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</si>
  <si>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</si>
  <si>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</si>
  <si>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</si>
  <si>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</si>
  <si>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</si>
  <si>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</si>
  <si>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</si>
  <si>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</si>
  <si>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</si>
  <si>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</si>
  <si>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</si>
  <si>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</si>
  <si>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</si>
  <si>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</si>
  <si>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</si>
  <si>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</si>
  <si>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</si>
  <si>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</si>
  <si>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</si>
  <si>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</si>
  <si>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</si>
  <si>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</si>
  <si>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</si>
  <si>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</si>
  <si>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</si>
  <si>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</si>
  <si>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</si>
  <si>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</si>
  <si>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</si>
  <si>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</si>
  <si>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</si>
  <si>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</si>
  <si>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</si>
  <si>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</si>
  <si>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</si>
  <si>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</si>
  <si>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</si>
  <si>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</si>
  <si>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</si>
  <si>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</si>
  <si>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</si>
  <si>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</si>
  <si>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</si>
  <si>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</si>
  <si>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</si>
  <si>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</si>
  <si>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</si>
  <si>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</si>
  <si>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</si>
  <si>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</si>
  <si>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</si>
  <si>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</si>
  <si>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</si>
  <si>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</si>
  <si>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</si>
  <si>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</si>
  <si>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</si>
  <si>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</si>
  <si>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</si>
  <si>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</si>
  <si>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</si>
  <si>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</si>
  <si>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</si>
  <si>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</si>
  <si>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</si>
  <si>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</si>
  <si>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</si>
  <si>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</si>
  <si>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</si>
  <si>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</si>
  <si>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</si>
  <si>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</si>
  <si>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</si>
  <si>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</si>
  <si>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</si>
  <si>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</si>
  <si>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</si>
  <si>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</si>
  <si>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</si>
  <si>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</si>
  <si>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</si>
  <si>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</si>
  <si>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</si>
  <si>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</si>
  <si>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</si>
  <si>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</si>
  <si>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</si>
  <si>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</si>
  <si>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</si>
  <si>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</si>
  <si>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</si>
  <si>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</si>
  <si>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</si>
  <si>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</si>
  <si>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</si>
  <si>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</si>
  <si>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</si>
  <si>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</si>
  <si>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</si>
  <si>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</si>
  <si>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</si>
  <si>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</si>
  <si>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</si>
  <si>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</si>
  <si>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</si>
  <si>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</si>
  <si>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</si>
  <si>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</si>
  <si>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</si>
  <si>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</si>
  <si>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</si>
  <si>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</si>
  <si>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</si>
  <si>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</si>
  <si>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</si>
  <si>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</si>
  <si>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</si>
  <si>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</si>
  <si>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</si>
  <si>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</si>
  <si>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</si>
  <si>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</si>
  <si>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</si>
  <si>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</si>
  <si>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</si>
  <si>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</si>
  <si>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</si>
  <si>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</si>
  <si>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</si>
  <si>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</si>
  <si>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</si>
  <si>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</si>
  <si>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</si>
  <si>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</si>
  <si>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</si>
  <si>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</si>
  <si>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</si>
  <si>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</si>
  <si>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</si>
  <si>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</si>
  <si>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</si>
  <si>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</si>
  <si>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</si>
  <si>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</si>
  <si>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</si>
  <si>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</si>
  <si>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</si>
  <si>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</si>
  <si>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</si>
  <si>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</si>
  <si>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</si>
  <si>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</si>
  <si>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</si>
  <si>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</si>
  <si>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</si>
  <si>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</si>
  <si>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</si>
  <si>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</si>
  <si>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</si>
  <si>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</si>
  <si>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</si>
  <si>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</si>
  <si>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</si>
  <si>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</si>
  <si>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</si>
  <si>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</si>
  <si>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</si>
  <si>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</si>
  <si>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</si>
  <si>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</si>
  <si>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</si>
  <si>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</si>
  <si>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</si>
  <si>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</si>
  <si>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</si>
  <si>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</si>
  <si>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</si>
  <si>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</si>
  <si>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</si>
  <si>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</si>
  <si>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</si>
  <si>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</si>
  <si>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</si>
  <si>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</si>
  <si>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</si>
  <si>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</si>
  <si>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</si>
  <si>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</si>
  <si>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</si>
  <si>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</si>
  <si>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</si>
  <si>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</si>
  <si>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</si>
  <si>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</si>
  <si>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</si>
  <si>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</si>
  <si>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</si>
  <si>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</si>
  <si>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</si>
  <si>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</si>
  <si>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</si>
  <si>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</si>
  <si>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</si>
  <si>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</si>
  <si>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</si>
  <si>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</si>
  <si>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</si>
  <si>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</si>
  <si>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</si>
  <si>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</si>
  <si>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</si>
  <si>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</si>
  <si>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</si>
  <si>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</si>
  <si>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</si>
  <si>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</si>
  <si>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</si>
  <si>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</si>
  <si>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</si>
  <si>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</si>
  <si>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</si>
  <si>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</si>
  <si>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</si>
  <si>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</si>
  <si>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</si>
  <si>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</si>
  <si>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</si>
  <si>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</si>
  <si>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</si>
  <si>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</si>
  <si>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</si>
  <si>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</si>
  <si>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</si>
  <si>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</si>
  <si>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</si>
  <si>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</si>
  <si>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</si>
  <si>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</si>
  <si>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</si>
  <si>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</si>
  <si>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</si>
  <si>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</si>
  <si>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</si>
  <si>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</si>
  <si>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</si>
  <si>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</si>
  <si>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</si>
  <si>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</si>
  <si>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</si>
  <si>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</si>
  <si>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</si>
  <si>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</si>
  <si>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</si>
  <si>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</si>
  <si>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</si>
  <si>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</si>
  <si>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</si>
  <si>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</si>
  <si>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</si>
  <si>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</si>
  <si>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</si>
  <si>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</si>
  <si>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</si>
  <si>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</si>
  <si>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</si>
  <si>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</si>
  <si>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</si>
  <si>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</si>
  <si>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</si>
  <si>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</si>
  <si>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</si>
  <si>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</si>
  <si>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</si>
  <si>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</si>
  <si>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</si>
  <si>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</si>
  <si>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</si>
  <si>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</si>
  <si>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</si>
  <si>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</si>
  <si>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</si>
  <si>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</si>
  <si>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</si>
  <si>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</si>
  <si>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</si>
  <si>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</si>
  <si>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</si>
  <si>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</si>
  <si>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</si>
  <si>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</si>
  <si>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</si>
  <si>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</si>
  <si>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</si>
  <si>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</si>
  <si>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</si>
  <si>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</si>
  <si>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</si>
  <si>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</si>
  <si>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</si>
  <si>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</si>
  <si>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</si>
  <si>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</si>
  <si>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</si>
  <si>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</si>
  <si>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</si>
  <si>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</si>
  <si>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</si>
  <si>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</si>
  <si>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</si>
  <si>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</si>
  <si>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</si>
  <si>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</si>
  <si>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</si>
  <si>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</si>
  <si>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</si>
  <si>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</si>
  <si>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</si>
  <si>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</si>
  <si>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</si>
  <si>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</si>
  <si>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</si>
  <si>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</si>
  <si>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</si>
  <si>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</si>
  <si>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</si>
  <si>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</si>
  <si>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</si>
  <si>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</si>
  <si>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</si>
  <si>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</si>
  <si>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</si>
  <si>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</si>
  <si>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</si>
  <si>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</si>
  <si>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</si>
  <si>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</si>
  <si>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</si>
  <si>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</si>
  <si>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</si>
  <si>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</si>
  <si>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</si>
  <si>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</si>
  <si>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</si>
  <si>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</si>
  <si>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</si>
  <si>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</si>
  <si>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</si>
  <si>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</si>
  <si>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</si>
  <si>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</si>
  <si>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</si>
  <si>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</si>
  <si>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</si>
  <si>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</si>
  <si>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</si>
  <si>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</si>
  <si>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</si>
  <si>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</si>
  <si>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</si>
  <si>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</si>
  <si>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</si>
  <si>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</si>
  <si>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</si>
  <si>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</si>
  <si>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</si>
  <si>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</si>
  <si>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</si>
  <si>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</si>
  <si>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</si>
  <si>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</si>
  <si>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</si>
  <si>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</si>
  <si>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</si>
  <si>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</si>
  <si>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</si>
  <si>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</si>
  <si>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</si>
  <si>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</si>
  <si>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</si>
  <si>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</si>
  <si>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</si>
  <si>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</si>
  <si>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</si>
  <si>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</si>
  <si>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</si>
  <si>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</si>
  <si>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</si>
  <si>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</si>
  <si>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</si>
  <si>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</si>
  <si>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</si>
  <si>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</si>
  <si>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</si>
  <si>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</si>
  <si>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</si>
  <si>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</si>
  <si>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</si>
  <si>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</si>
  <si>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</si>
  <si>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</si>
  <si>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</si>
  <si>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</si>
  <si>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</si>
  <si>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</si>
  <si>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</si>
  <si>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</si>
  <si>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</si>
  <si>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</si>
  <si>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</si>
  <si>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</si>
  <si>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</si>
  <si>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</si>
  <si>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</si>
  <si>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</si>
  <si>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</si>
  <si>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</si>
  <si>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</si>
  <si>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</si>
  <si>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</si>
  <si>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</si>
  <si>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</si>
  <si>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</si>
  <si>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</si>
  <si>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</si>
  <si>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</si>
  <si>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</si>
  <si>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</si>
  <si>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</si>
  <si>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</si>
  <si>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</si>
  <si>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</si>
  <si>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</si>
  <si>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</si>
  <si>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</si>
  <si>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</si>
  <si>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</si>
  <si>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</si>
  <si>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</si>
  <si>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</si>
  <si>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</si>
  <si>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</si>
  <si>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</si>
  <si>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</si>
  <si>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</si>
  <si>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</si>
  <si>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</si>
  <si>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</si>
  <si>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</si>
  <si>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</si>
  <si>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</si>
  <si>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</si>
  <si>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</si>
  <si>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</si>
  <si>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</si>
  <si>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</si>
  <si>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</si>
  <si>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</si>
  <si>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</si>
  <si>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</si>
  <si>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</si>
  <si>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</si>
  <si>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</si>
  <si>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</si>
  <si>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</si>
  <si>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</si>
  <si>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</si>
  <si>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</si>
  <si>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</si>
  <si>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</si>
  <si>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</si>
  <si>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</si>
  <si>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</si>
  <si>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</si>
  <si>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</si>
  <si>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</si>
  <si>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</si>
  <si>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</si>
  <si>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</si>
  <si>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</si>
  <si>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</si>
  <si>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</si>
  <si>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</si>
  <si>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</si>
  <si>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</si>
  <si>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</si>
  <si>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</si>
  <si>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</si>
  <si>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</si>
  <si>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</si>
  <si>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</si>
  <si>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</si>
  <si>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</si>
  <si>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</si>
  <si>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</si>
  <si>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</si>
  <si>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</si>
  <si>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</si>
  <si>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</si>
  <si>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</si>
  <si>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</si>
  <si>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</si>
  <si>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</si>
  <si>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</si>
  <si>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</si>
  <si>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</si>
  <si>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</si>
  <si>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</si>
  <si>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</si>
  <si>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</si>
  <si>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</si>
  <si>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</si>
  <si>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</si>
  <si>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</si>
  <si>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</si>
  <si>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</si>
  <si>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</si>
  <si>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</si>
  <si>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</si>
  <si>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</si>
  <si>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</si>
  <si>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</si>
  <si>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</si>
  <si>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</si>
  <si>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</si>
  <si>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</si>
  <si>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</si>
  <si>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</si>
  <si>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</si>
  <si>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</si>
  <si>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</si>
  <si>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</si>
  <si>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</si>
  <si>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</si>
  <si>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</si>
  <si>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</si>
  <si>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</si>
  <si>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</si>
  <si>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</si>
  <si>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</si>
  <si>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</si>
  <si>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</si>
  <si>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</si>
  <si>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</si>
  <si>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</si>
  <si>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</si>
  <si>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</si>
  <si>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</si>
  <si>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</si>
  <si>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</si>
  <si>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</si>
  <si>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</si>
  <si>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</si>
  <si>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</si>
  <si>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</si>
  <si>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</si>
  <si>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</si>
  <si>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</si>
  <si>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</si>
  <si>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</si>
  <si>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</si>
  <si>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</si>
  <si>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</si>
  <si>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</si>
  <si>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</si>
  <si>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</si>
  <si>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</si>
  <si>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</si>
  <si>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</si>
  <si>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</si>
  <si>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</si>
  <si>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</si>
  <si>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</si>
  <si>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</si>
  <si>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</si>
  <si>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</si>
  <si>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</si>
  <si>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</si>
  <si>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</si>
  <si>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</si>
  <si>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</si>
  <si>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</si>
  <si>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</si>
  <si>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</si>
  <si>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</si>
  <si>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</si>
  <si>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</si>
  <si>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</si>
  <si>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</si>
  <si>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</si>
  <si>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</si>
  <si>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</si>
  <si>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</si>
  <si>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</si>
  <si>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</si>
  <si>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</si>
  <si>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</si>
  <si>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</si>
  <si>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</si>
  <si>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</si>
  <si>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</si>
  <si>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</si>
  <si>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</si>
  <si>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</si>
  <si>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</si>
  <si>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</si>
  <si>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</si>
  <si>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</si>
  <si>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</si>
  <si>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</si>
  <si>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</si>
  <si>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</si>
  <si>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</si>
  <si>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</si>
  <si>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</si>
  <si>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</si>
  <si>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</si>
  <si>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</si>
  <si>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</si>
  <si>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</si>
  <si>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</si>
  <si>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</si>
  <si>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</si>
  <si>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</si>
  <si>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</si>
  <si>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</si>
  <si>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</si>
  <si>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</si>
  <si>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</si>
  <si>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</si>
  <si>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</si>
  <si>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</si>
  <si>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</si>
  <si>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</si>
  <si>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</si>
  <si>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</si>
  <si>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</si>
  <si>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</si>
  <si>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</si>
  <si>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</si>
  <si>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</si>
  <si>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</si>
  <si>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</si>
  <si>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</si>
  <si>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</si>
  <si>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</si>
  <si>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</si>
  <si>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</si>
  <si>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</si>
  <si>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</si>
  <si>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</si>
  <si>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</si>
  <si>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</si>
  <si>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</si>
  <si>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</si>
  <si>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</si>
  <si>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</si>
  <si>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</si>
  <si>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</si>
  <si>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</si>
  <si>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</si>
  <si>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</si>
  <si>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</si>
  <si>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</si>
  <si>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</si>
  <si>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</si>
  <si>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</si>
  <si>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</si>
  <si>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</si>
  <si>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</si>
  <si>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</si>
  <si>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</si>
  <si>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</si>
  <si>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</si>
  <si>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</si>
  <si>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</si>
  <si>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</si>
  <si>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</si>
  <si>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</si>
  <si>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</si>
  <si>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</si>
  <si>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</si>
  <si>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</si>
  <si>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</si>
  <si>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</si>
  <si>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</si>
  <si>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</si>
  <si>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</si>
  <si>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</si>
  <si>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</si>
  <si>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</si>
  <si>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</si>
  <si>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</si>
  <si>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</si>
  <si>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</si>
  <si>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</si>
  <si>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</si>
  <si>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</si>
  <si>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</si>
  <si>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</si>
  <si>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</si>
  <si>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</si>
  <si>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</si>
  <si>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</si>
  <si>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</si>
  <si>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</si>
  <si>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</si>
  <si>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</si>
  <si>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</si>
  <si>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</si>
  <si>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</si>
  <si>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</si>
  <si>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</si>
  <si>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</si>
  <si>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</si>
  <si>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</si>
  <si>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</si>
  <si>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</si>
  <si>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</si>
  <si>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</si>
  <si>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</si>
  <si>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</si>
  <si>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</si>
  <si>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</si>
  <si>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</si>
  <si>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</si>
  <si>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</si>
  <si>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</si>
  <si>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</si>
  <si>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</si>
  <si>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</si>
  <si>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</si>
  <si>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</si>
  <si>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</si>
  <si>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</si>
  <si>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</si>
  <si>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</si>
  <si>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</si>
  <si>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</si>
  <si>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</si>
  <si>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</si>
  <si>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</si>
  <si>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</si>
  <si>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</si>
  <si>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</si>
  <si>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</si>
  <si>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</si>
  <si>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</si>
  <si>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</si>
  <si>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</si>
  <si>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</si>
  <si>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</si>
  <si>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</si>
  <si>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</si>
  <si>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</si>
  <si>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</si>
  <si>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</si>
  <si>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</si>
  <si>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</si>
  <si>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</si>
  <si>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</si>
  <si>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</si>
  <si>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</si>
  <si>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</si>
  <si>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</si>
  <si>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</si>
  <si>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</si>
  <si>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</si>
  <si>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</si>
  <si>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</si>
  <si>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</si>
  <si>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</si>
  <si>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</si>
  <si>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</si>
  <si>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</si>
  <si>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</si>
  <si>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</si>
  <si>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</si>
  <si>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</si>
  <si>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</si>
  <si>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</si>
  <si>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</si>
  <si>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</si>
  <si>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</si>
  <si>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</si>
  <si>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</si>
  <si>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</si>
  <si>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</si>
  <si>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</si>
  <si>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</si>
  <si>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</si>
  <si>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</si>
  <si>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</si>
  <si>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</si>
  <si>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</si>
  <si>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</si>
  <si>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</si>
  <si>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</si>
  <si>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</si>
  <si>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</si>
  <si>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</si>
  <si>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</si>
  <si>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</si>
  <si>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</si>
  <si>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</si>
  <si>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</si>
  <si>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</si>
  <si>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</si>
  <si>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</si>
  <si>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</si>
  <si>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</si>
  <si>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</si>
  <si>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</si>
  <si>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</si>
  <si>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</si>
  <si>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</si>
  <si>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</si>
  <si>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</si>
  <si>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</si>
  <si>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</si>
  <si>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</si>
  <si>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</si>
  <si>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</si>
  <si>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</si>
  <si>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</si>
  <si>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</si>
  <si>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</si>
  <si>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</si>
  <si>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</si>
  <si>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</si>
  <si>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</si>
  <si>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</si>
  <si>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</si>
  <si>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</si>
  <si>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</si>
  <si>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</si>
  <si>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</si>
  <si>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</si>
  <si>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</si>
  <si>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</si>
  <si>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</si>
  <si>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</si>
  <si>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</si>
  <si>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</si>
  <si>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</si>
  <si>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</si>
  <si>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</si>
  <si>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</si>
  <si>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</si>
  <si>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</si>
  <si>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</si>
  <si>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</si>
  <si>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</si>
  <si>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</si>
  <si>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</si>
  <si>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</si>
  <si>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</si>
  <si>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</si>
  <si>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</si>
  <si>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</si>
  <si>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</si>
  <si>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</si>
  <si>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</si>
  <si>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</si>
  <si>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</si>
  <si>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</si>
  <si>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</si>
  <si>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</si>
  <si>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</si>
  <si>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</si>
  <si>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</si>
  <si>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</si>
  <si>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</si>
  <si>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</si>
  <si>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</si>
  <si>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</si>
  <si>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</si>
  <si>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</si>
  <si>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</si>
  <si>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</si>
  <si>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</si>
  <si>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</si>
  <si>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</si>
  <si>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</si>
  <si>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</si>
  <si>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</si>
  <si>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</si>
  <si>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</si>
  <si>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</si>
  <si>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</si>
  <si>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</si>
  <si>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</si>
  <si>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</si>
  <si>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</si>
  <si>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</si>
  <si>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</si>
  <si>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</si>
  <si>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</si>
  <si>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</si>
  <si>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</si>
  <si>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</si>
  <si>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</si>
  <si>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</si>
  <si>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</si>
  <si>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</si>
  <si>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</si>
  <si>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</si>
  <si>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</si>
  <si>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</si>
  <si>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</si>
  <si>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</si>
  <si>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</si>
  <si>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</si>
  <si>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</si>
  <si>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</si>
  <si>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</si>
  <si>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</si>
  <si>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</si>
  <si>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</si>
  <si>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</si>
  <si>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</si>
  <si>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</si>
  <si>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</si>
  <si>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</si>
  <si>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</si>
  <si>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</si>
  <si>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</si>
  <si>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</si>
  <si>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</si>
  <si>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</si>
  <si>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</si>
  <si>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</si>
  <si>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</si>
  <si>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</si>
  <si>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</si>
  <si>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</si>
  <si>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</si>
  <si>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</si>
  <si>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</si>
  <si>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</si>
  <si>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</si>
  <si>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</si>
  <si>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</si>
  <si>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</si>
  <si>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</si>
  <si>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</si>
  <si>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</si>
  <si>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</si>
  <si>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</si>
  <si>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</si>
  <si>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</si>
  <si>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</si>
  <si>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</si>
  <si>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</si>
  <si>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</si>
  <si>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</si>
  <si>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</si>
  <si>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</si>
  <si>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</si>
  <si>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</si>
  <si>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</si>
  <si>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</si>
  <si>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</si>
  <si>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</si>
  <si>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</si>
  <si>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</si>
  <si>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</si>
  <si>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</si>
  <si>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</si>
  <si>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</si>
  <si>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</si>
  <si>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</si>
  <si>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</si>
  <si>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</si>
  <si>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</si>
  <si>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</si>
  <si>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</si>
  <si>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</si>
  <si>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</si>
  <si>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</si>
  <si>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</si>
  <si>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</si>
  <si>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</si>
  <si>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</si>
  <si>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</si>
  <si>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</si>
  <si>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</si>
  <si>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</si>
  <si>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</si>
  <si>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</si>
  <si>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</si>
  <si>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</si>
  <si>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</si>
  <si>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</si>
  <si>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</si>
  <si>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</si>
  <si>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</si>
  <si>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</si>
  <si>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</si>
  <si>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</si>
  <si>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</si>
  <si>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</si>
  <si>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</si>
  <si>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</si>
  <si>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</si>
  <si>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</si>
  <si>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</si>
  <si>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</si>
  <si>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</si>
  <si>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</si>
  <si>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</si>
  <si>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</si>
  <si>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</si>
  <si>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</si>
  <si>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</si>
  <si>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</si>
  <si>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</si>
  <si>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</si>
  <si>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</si>
  <si>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</si>
  <si>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</si>
  <si>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</si>
  <si>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</si>
  <si>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</si>
  <si>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</si>
  <si>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</si>
  <si>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</si>
  <si>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</si>
  <si>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</si>
  <si>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</si>
  <si>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</si>
  <si>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</si>
  <si>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</si>
  <si>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</si>
  <si>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</si>
  <si>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</si>
  <si>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</si>
  <si>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</si>
  <si>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</si>
  <si>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</si>
  <si>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</si>
  <si>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</si>
  <si>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</si>
  <si>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</si>
  <si>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</si>
  <si>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</si>
  <si>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</si>
  <si>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</si>
  <si>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</si>
  <si>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</si>
  <si>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</si>
  <si>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</si>
  <si>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</si>
  <si>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</si>
  <si>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</si>
  <si>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</si>
  <si>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</si>
  <si>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</si>
  <si>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</si>
  <si>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</si>
  <si>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</si>
  <si>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</si>
  <si>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</si>
  <si>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</si>
  <si>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</si>
  <si>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</si>
  <si>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</si>
  <si>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</si>
  <si>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</si>
  <si>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</si>
  <si>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</si>
  <si>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</si>
  <si>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</si>
  <si>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</si>
  <si>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</si>
  <si>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</si>
  <si>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</si>
  <si>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</si>
  <si>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</si>
  <si>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</si>
  <si>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</si>
  <si>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</si>
  <si>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</si>
  <si>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</si>
  <si>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</si>
  <si>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</si>
  <si>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</si>
  <si>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</si>
  <si>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</si>
  <si>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</si>
  <si>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</si>
  <si>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</si>
  <si>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</si>
  <si>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</si>
  <si>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</si>
  <si>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</si>
  <si>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</si>
  <si>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</si>
  <si>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</si>
  <si>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</si>
  <si>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</si>
  <si>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</si>
  <si>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</si>
  <si>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</si>
  <si>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</si>
  <si>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</si>
  <si>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</si>
  <si>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</si>
  <si>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</si>
  <si>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</si>
  <si>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</si>
  <si>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</si>
  <si>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</si>
  <si>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</si>
  <si>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</si>
  <si>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</si>
  <si>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</si>
  <si>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</si>
  <si>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</si>
  <si>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</si>
  <si>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</si>
  <si>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</si>
  <si>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</si>
  <si>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</si>
  <si>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</si>
  <si>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</si>
  <si>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</si>
  <si>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</si>
  <si>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</si>
  <si>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</si>
  <si>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</si>
  <si>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</si>
  <si>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</si>
  <si>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</si>
  <si>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</si>
  <si>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</si>
  <si>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</si>
  <si>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</si>
  <si>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</si>
  <si>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</si>
  <si>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</si>
  <si>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</si>
  <si>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</si>
  <si>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</si>
  <si>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</si>
  <si>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</si>
  <si>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</si>
  <si>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</si>
  <si>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</si>
  <si>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</si>
  <si>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</si>
  <si>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</si>
  <si>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</si>
  <si>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</si>
  <si>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</si>
  <si>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</si>
  <si>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</si>
  <si>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</si>
  <si>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</si>
  <si>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</si>
  <si>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</si>
  <si>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</si>
  <si>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</si>
  <si>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</si>
  <si>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</si>
  <si>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</si>
  <si>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</si>
  <si>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</si>
  <si>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</si>
  <si>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</si>
  <si>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</si>
  <si>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</si>
  <si>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</si>
  <si>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</si>
  <si>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</si>
  <si>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</si>
  <si>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</si>
  <si>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</si>
  <si>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</si>
  <si>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</si>
  <si>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</si>
  <si>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</si>
  <si>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</si>
  <si>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</si>
  <si>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</si>
  <si>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</si>
  <si>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</si>
  <si>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</si>
  <si>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</si>
  <si>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</si>
  <si>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</si>
  <si>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</si>
  <si>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</si>
  <si>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</si>
  <si>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</si>
  <si>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</si>
  <si>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</si>
  <si>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</si>
  <si>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</si>
  <si>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</si>
  <si>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</si>
  <si>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</si>
  <si>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</si>
  <si>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</si>
  <si>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</si>
  <si>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</si>
  <si>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</si>
  <si>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</si>
  <si>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</si>
  <si>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</si>
  <si>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</si>
  <si>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</si>
  <si>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</si>
  <si>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</si>
  <si>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</si>
  <si>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</si>
  <si>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</si>
  <si>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</si>
  <si>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</si>
  <si>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</si>
  <si>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</si>
  <si>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</si>
  <si>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</si>
  <si>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</si>
  <si>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</si>
  <si>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</si>
  <si>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</si>
  <si>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</si>
  <si>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</si>
  <si>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</si>
  <si>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</si>
  <si>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</si>
  <si>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</si>
  <si>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</si>
  <si>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</si>
  <si>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</si>
  <si>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</si>
  <si>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</si>
  <si>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</si>
  <si>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</si>
  <si>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</si>
  <si>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</si>
  <si>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</si>
  <si>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</si>
  <si>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</si>
  <si>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</si>
  <si>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</si>
  <si>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</si>
  <si>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</si>
  <si>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</si>
  <si>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</si>
  <si>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</si>
  <si>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</si>
  <si>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</si>
  <si>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</si>
  <si>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</si>
  <si>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</si>
  <si>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</si>
  <si>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</si>
  <si>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</si>
  <si>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</si>
  <si>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</si>
  <si>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</si>
  <si>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</si>
  <si>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</si>
  <si>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</si>
  <si>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</si>
  <si>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</si>
  <si>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</si>
  <si>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</si>
  <si>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</si>
  <si>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</si>
  <si>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</si>
  <si>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</si>
  <si>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</si>
  <si>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</si>
  <si>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</si>
  <si>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</si>
  <si>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</si>
  <si>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</si>
  <si>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</si>
  <si>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</si>
  <si>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</si>
  <si>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</si>
  <si>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</si>
  <si>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</si>
  <si>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</si>
  <si>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</si>
  <si>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</si>
  <si>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</si>
  <si>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</si>
  <si>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</si>
  <si>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</si>
  <si>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</si>
  <si>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</si>
  <si>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</si>
  <si>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</si>
  <si>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</si>
  <si>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</si>
  <si>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</si>
  <si>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</si>
  <si>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</si>
  <si>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</si>
  <si>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</si>
  <si>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</si>
  <si>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</si>
  <si>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</si>
  <si>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</si>
  <si>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</si>
  <si>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</si>
  <si>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</si>
  <si>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</si>
  <si>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</si>
  <si>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</si>
  <si>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</si>
  <si>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</si>
  <si>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</si>
  <si>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</si>
  <si>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</si>
  <si>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</si>
  <si>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</si>
  <si>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</si>
  <si>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</si>
  <si>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</si>
  <si>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</si>
  <si>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</si>
  <si>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</si>
  <si>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</si>
  <si>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</si>
  <si>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</si>
  <si>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</si>
  <si>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</si>
  <si>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</si>
  <si>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</si>
  <si>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</si>
  <si>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</si>
  <si>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</si>
  <si>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</si>
  <si>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</si>
  <si>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</si>
  <si>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</si>
  <si>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</si>
  <si>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</si>
  <si>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</si>
  <si>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</si>
  <si>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</si>
  <si>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</si>
  <si>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</si>
  <si>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</si>
  <si>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</si>
  <si>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</si>
  <si>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</si>
  <si>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</si>
  <si>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</si>
  <si>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</si>
  <si>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</si>
  <si>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</si>
  <si>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</si>
  <si>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</si>
  <si>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</si>
  <si>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</si>
  <si>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</si>
  <si>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</si>
  <si>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</si>
  <si>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</si>
  <si>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</si>
  <si>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</si>
  <si>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</si>
  <si>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</si>
  <si>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</si>
  <si>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</si>
  <si>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</si>
  <si>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</si>
  <si>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</si>
  <si>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</si>
  <si>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</si>
  <si>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</si>
  <si>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</si>
  <si>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</si>
  <si>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</si>
  <si>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</si>
  <si>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</si>
  <si>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</si>
  <si>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</si>
  <si>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</si>
  <si>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</si>
  <si>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</si>
  <si>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</si>
  <si>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</si>
  <si>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</si>
  <si>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</si>
  <si>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</si>
  <si>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</si>
  <si>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</si>
  <si>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</si>
  <si>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</si>
  <si>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</si>
  <si>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</si>
  <si>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</si>
  <si>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</si>
  <si>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</si>
  <si>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</si>
  <si>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</si>
  <si>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</si>
  <si>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</si>
  <si>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</si>
  <si>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</si>
  <si>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</si>
  <si>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</si>
  <si>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</si>
  <si>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</si>
  <si>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</si>
  <si>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</si>
  <si>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</si>
  <si>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</si>
  <si>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</si>
  <si>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</si>
  <si>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</si>
  <si>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</si>
  <si>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</si>
  <si>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</si>
  <si>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</si>
  <si>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</si>
  <si>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</si>
  <si>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</si>
  <si>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</si>
  <si>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</si>
  <si>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</si>
  <si>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</si>
  <si>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</si>
  <si>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</si>
  <si>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</si>
  <si>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</si>
  <si>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</si>
  <si>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</si>
  <si>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</si>
  <si>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</si>
  <si>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</si>
  <si>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</si>
  <si>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</si>
  <si>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</si>
  <si>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</si>
  <si>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</si>
  <si>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</si>
  <si>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</si>
  <si>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</si>
  <si>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</si>
  <si>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</si>
  <si>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</si>
  <si>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</si>
  <si>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</si>
  <si>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</si>
  <si>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</si>
  <si>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</si>
  <si>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</si>
  <si>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</si>
  <si>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</si>
  <si>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</si>
  <si>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</si>
  <si>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</si>
  <si>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</si>
  <si>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</si>
  <si>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</si>
  <si>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</si>
  <si>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</si>
  <si>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</si>
  <si>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</si>
  <si>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</si>
  <si>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</si>
  <si>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</si>
  <si>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</si>
  <si>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</si>
  <si>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</si>
  <si>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</si>
  <si>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</si>
  <si>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</si>
  <si>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</si>
  <si>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</si>
  <si>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</si>
  <si>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</si>
  <si>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</si>
  <si>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</si>
  <si>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</si>
  <si>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</si>
  <si>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</si>
  <si>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</si>
  <si>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</si>
  <si>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</si>
  <si>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</si>
  <si>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</si>
  <si>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</si>
  <si>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</si>
  <si>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</si>
  <si>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</si>
  <si>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</si>
  <si>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</si>
  <si>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</si>
  <si>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</si>
  <si>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</si>
  <si>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</si>
  <si>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</si>
  <si>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</si>
  <si>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</si>
  <si>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</si>
  <si>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</si>
  <si>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</si>
  <si>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</si>
  <si>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</si>
  <si>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</si>
  <si>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</si>
  <si>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</si>
  <si>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</si>
  <si>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</si>
  <si>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</si>
  <si>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</si>
  <si>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</si>
  <si>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</si>
  <si>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</si>
  <si>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</si>
  <si>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</si>
  <si>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</si>
  <si>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</si>
  <si>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</si>
  <si>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</si>
  <si>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</si>
  <si>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</si>
  <si>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</si>
  <si>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</si>
  <si>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</si>
  <si>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</si>
  <si>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</si>
  <si>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</si>
  <si>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</si>
  <si>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</si>
  <si>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</si>
  <si>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</si>
  <si>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</si>
  <si>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</si>
  <si>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</si>
  <si>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</si>
  <si>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</si>
  <si>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</si>
  <si>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</si>
  <si>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</si>
  <si>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</si>
  <si>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</si>
  <si>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</si>
  <si>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</si>
  <si>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</si>
  <si>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</si>
  <si>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</si>
  <si>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</si>
  <si>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</si>
  <si>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</si>
  <si>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</si>
  <si>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</si>
  <si>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</si>
  <si>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</si>
  <si>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</si>
  <si>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</si>
  <si>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</si>
  <si>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</si>
  <si>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</si>
  <si>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</si>
  <si>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</si>
  <si>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</si>
  <si>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</si>
  <si>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</si>
  <si>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</si>
  <si>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</si>
  <si>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</si>
  <si>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</si>
  <si>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</si>
  <si>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</si>
  <si>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</si>
  <si>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</si>
  <si>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</si>
  <si>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</si>
  <si>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</si>
  <si>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</si>
  <si>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</si>
  <si>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</si>
  <si>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</si>
  <si>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</si>
  <si>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</si>
  <si>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</si>
  <si>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</si>
  <si>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</si>
  <si>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</si>
  <si>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</si>
  <si>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</si>
  <si>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</si>
  <si>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</si>
  <si>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</si>
  <si>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</si>
  <si>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</si>
  <si>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</si>
  <si>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</si>
  <si>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</si>
  <si>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</si>
  <si>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</si>
  <si>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</si>
  <si>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</si>
  <si>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</si>
  <si>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</si>
  <si>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</si>
  <si>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</si>
  <si>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</si>
  <si>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</si>
  <si>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</si>
  <si>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</si>
  <si>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</si>
  <si>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</si>
  <si>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</si>
  <si>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</si>
  <si>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</si>
  <si>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</si>
  <si>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</si>
  <si>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</si>
  <si>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</si>
  <si>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</si>
  <si>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</si>
  <si>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</si>
  <si>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</si>
  <si>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</si>
  <si>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</si>
  <si>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</si>
  <si>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</si>
  <si>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</si>
  <si>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</si>
  <si>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</si>
  <si>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</si>
  <si>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</si>
  <si>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</si>
  <si>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</si>
  <si>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</si>
  <si>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</si>
  <si>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</si>
  <si>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</si>
  <si>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</si>
  <si>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</si>
  <si>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</si>
  <si>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</si>
  <si>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</si>
  <si>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</si>
  <si>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</si>
  <si>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</si>
  <si>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</si>
  <si>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</si>
  <si>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</si>
  <si>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</si>
  <si>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</si>
  <si>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</si>
  <si>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</si>
  <si>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</si>
  <si>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</si>
  <si>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</si>
  <si>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</si>
  <si>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</si>
  <si>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</si>
  <si>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</si>
  <si>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</si>
  <si>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</si>
  <si>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</si>
  <si>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</si>
  <si>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</si>
  <si>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</si>
  <si>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</si>
  <si>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</si>
  <si>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</si>
  <si>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</si>
  <si>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</si>
  <si>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</si>
  <si>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</si>
  <si>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</si>
  <si>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</si>
  <si>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</si>
  <si>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</si>
  <si>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</si>
  <si>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</si>
  <si>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</si>
  <si>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</si>
  <si>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</si>
  <si>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</si>
  <si>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</si>
  <si>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</si>
  <si>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</si>
  <si>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</si>
  <si>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</si>
  <si>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</si>
  <si>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</si>
  <si>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</si>
  <si>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</si>
  <si>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</si>
  <si>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</si>
  <si>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</si>
  <si>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</si>
  <si>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</si>
  <si>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</si>
  <si>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</si>
  <si>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</si>
  <si>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</si>
  <si>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</si>
  <si>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</si>
  <si>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</si>
  <si>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</si>
  <si>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</si>
  <si>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</si>
  <si>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</si>
  <si>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</si>
  <si>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</si>
  <si>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</si>
  <si>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</si>
  <si>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</si>
  <si>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</si>
  <si>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</si>
  <si>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</si>
  <si>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</si>
  <si>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</si>
  <si>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</si>
  <si>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</si>
  <si>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</si>
  <si>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</si>
  <si>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</si>
  <si>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</si>
  <si>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</si>
  <si>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</si>
  <si>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</si>
  <si>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</si>
  <si>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</si>
  <si>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</si>
  <si>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</si>
  <si>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</si>
  <si>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</si>
  <si>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</si>
  <si>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</si>
  <si>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</si>
  <si>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</si>
  <si>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</si>
  <si>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</si>
  <si>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</si>
  <si>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</si>
  <si>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</si>
  <si>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</si>
  <si>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</si>
  <si>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</si>
  <si>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</si>
  <si>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</si>
  <si>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</si>
  <si>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</si>
  <si>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</si>
  <si>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</si>
  <si>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</si>
  <si>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</si>
  <si>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</si>
  <si>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</si>
  <si>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</si>
  <si>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</si>
  <si>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</si>
  <si>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</si>
  <si>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</si>
  <si>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</si>
  <si>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</si>
  <si>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</si>
  <si>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</si>
  <si>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</si>
  <si>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</si>
  <si>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</si>
  <si>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</si>
  <si>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</si>
  <si>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</si>
  <si>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</si>
  <si>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</si>
  <si>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</si>
  <si>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</si>
  <si>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</si>
  <si>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</si>
  <si>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</si>
  <si>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</si>
  <si>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</si>
  <si>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</si>
  <si>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</si>
  <si>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</si>
  <si>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</si>
  <si>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</si>
  <si>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</si>
  <si>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</si>
  <si>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</si>
  <si>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</si>
  <si>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</si>
  <si>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</si>
  <si>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</si>
  <si>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</si>
  <si>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</si>
  <si>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</si>
  <si>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</si>
  <si>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</si>
  <si>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</si>
  <si>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</si>
  <si>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</si>
  <si>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</si>
  <si>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</si>
  <si>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</si>
  <si>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</si>
  <si>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</si>
  <si>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</si>
  <si>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</si>
  <si>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</si>
  <si>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</si>
  <si>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</si>
  <si>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</si>
  <si>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</si>
  <si>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</si>
  <si>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</si>
  <si>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</si>
  <si>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</si>
  <si>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</si>
  <si>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</si>
  <si>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</si>
  <si>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</si>
  <si>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</si>
  <si>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</si>
  <si>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</si>
  <si>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</si>
  <si>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</si>
  <si>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</si>
  <si>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</si>
  <si>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</si>
  <si>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</si>
  <si>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</si>
  <si>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</si>
  <si>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</si>
  <si>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</si>
  <si>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</si>
  <si>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</si>
  <si>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</si>
  <si>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</si>
  <si>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</si>
  <si>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</si>
  <si>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</si>
  <si>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</si>
  <si>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</si>
  <si>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</si>
  <si>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</si>
  <si>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</si>
  <si>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</si>
  <si>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</si>
  <si>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</si>
  <si>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</si>
  <si>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</si>
  <si>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</si>
  <si>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</si>
  <si>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</si>
  <si>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</si>
  <si>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</si>
  <si>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</si>
  <si>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</si>
  <si>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</si>
  <si>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</si>
  <si>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</si>
  <si>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</si>
  <si>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</si>
  <si>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</si>
  <si>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</si>
  <si>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</si>
  <si>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</si>
  <si>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</si>
  <si>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</si>
  <si>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</si>
  <si>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</si>
  <si>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</si>
  <si>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</si>
  <si>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</si>
  <si>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</si>
  <si>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</si>
  <si>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</si>
  <si>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</si>
  <si>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</si>
  <si>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</si>
  <si>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</si>
  <si>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</si>
  <si>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</si>
  <si>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</si>
  <si>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</si>
  <si>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</si>
  <si>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</si>
  <si>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</si>
  <si>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</si>
  <si>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</si>
  <si>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</si>
  <si>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</si>
  <si>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</si>
  <si>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</si>
  <si>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</si>
  <si>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</si>
  <si>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</si>
  <si>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</si>
  <si>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</si>
  <si>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</si>
  <si>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</si>
  <si>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</si>
  <si>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</si>
  <si>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</si>
  <si>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</si>
  <si>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</si>
  <si>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</si>
  <si>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</si>
  <si>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</si>
  <si>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</si>
  <si>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</si>
  <si>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</si>
  <si>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</si>
  <si>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</si>
  <si>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</si>
  <si>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</si>
  <si>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</si>
  <si>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</si>
  <si>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</si>
  <si>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</si>
  <si>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</si>
  <si>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</si>
  <si>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</si>
  <si>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</si>
  <si>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</si>
  <si>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</si>
  <si>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</si>
  <si>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</si>
  <si>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</si>
  <si>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</si>
  <si>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</si>
  <si>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</si>
  <si>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</si>
  <si>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</si>
  <si>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</si>
  <si>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</si>
  <si>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</si>
  <si>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</si>
  <si>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</si>
  <si>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</si>
  <si>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</si>
  <si>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</si>
  <si>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</si>
  <si>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</si>
  <si>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</si>
  <si>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</si>
  <si>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</si>
  <si>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</si>
  <si>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</si>
  <si>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</si>
  <si>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</si>
  <si>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</si>
  <si>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</si>
  <si>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</si>
  <si>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</si>
  <si>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</si>
  <si>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</si>
  <si>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</si>
  <si>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</si>
  <si>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</si>
  <si>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</si>
  <si>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</si>
  <si>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</si>
  <si>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</si>
  <si>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</si>
  <si>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</si>
  <si>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</si>
  <si>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</si>
  <si>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</si>
  <si>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</si>
  <si>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</si>
  <si>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</si>
  <si>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</si>
  <si>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</si>
  <si>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</si>
  <si>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</si>
  <si>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</si>
  <si>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</si>
  <si>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</si>
  <si>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</si>
  <si>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</si>
  <si>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</si>
  <si>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</si>
  <si>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</si>
  <si>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</si>
  <si>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</si>
  <si>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</si>
  <si>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</si>
  <si>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</si>
  <si>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</si>
  <si>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</si>
  <si>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</si>
  <si>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</si>
  <si>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</si>
  <si>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</si>
  <si>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</si>
  <si>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</si>
  <si>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</si>
  <si>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</si>
  <si>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</si>
  <si>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</si>
  <si>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</si>
  <si>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</si>
  <si>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</si>
  <si>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</si>
  <si>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</si>
  <si>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</si>
  <si>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</si>
  <si>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</si>
  <si>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</si>
  <si>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</si>
  <si>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</si>
  <si>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</si>
  <si>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</si>
  <si>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</si>
  <si>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</si>
  <si>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</si>
  <si>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</si>
  <si>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</si>
  <si>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</si>
  <si>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</si>
  <si>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</si>
  <si>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</si>
  <si>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</si>
  <si>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</si>
  <si>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</si>
  <si>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</si>
  <si>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</si>
  <si>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</si>
  <si>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</si>
  <si>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</si>
  <si>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</si>
  <si>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</si>
  <si>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</si>
  <si>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</si>
  <si>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</si>
  <si>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</si>
  <si>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</si>
  <si>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</si>
  <si>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</si>
  <si>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</si>
  <si>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</si>
  <si>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</si>
  <si>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</si>
  <si>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</si>
  <si>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</si>
  <si>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</si>
  <si>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</si>
  <si>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</si>
  <si>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</si>
  <si>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</si>
  <si>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</si>
  <si>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</si>
  <si>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</si>
  <si>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</si>
  <si>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</si>
  <si>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</si>
  <si>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</si>
  <si>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</si>
  <si>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</si>
  <si>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</si>
  <si>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</si>
  <si>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</si>
  <si>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</si>
  <si>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</si>
  <si>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</si>
  <si>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</si>
  <si>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</si>
  <si>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</si>
  <si>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</si>
  <si>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</si>
  <si>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</si>
  <si>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</si>
  <si>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</si>
  <si>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</si>
  <si>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</si>
  <si>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</si>
  <si>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</si>
  <si>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</si>
  <si>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</si>
  <si>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</si>
  <si>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</si>
  <si>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</si>
  <si>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</si>
  <si>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</si>
  <si>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</si>
  <si>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</si>
  <si>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</si>
  <si>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</si>
  <si>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</si>
  <si>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</si>
  <si>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</si>
  <si>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</si>
  <si>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</si>
  <si>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</si>
  <si>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</si>
  <si>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</si>
  <si>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</si>
  <si>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</si>
  <si>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</si>
  <si>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</si>
  <si>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</si>
  <si>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</si>
  <si>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</si>
  <si>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</si>
  <si>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</si>
  <si>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</si>
  <si>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</si>
  <si>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</si>
  <si>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</si>
  <si>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</si>
  <si>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</si>
  <si>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</si>
  <si>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</si>
  <si>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</si>
  <si>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</si>
  <si>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</si>
  <si>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</si>
  <si>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</si>
  <si>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</si>
  <si>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</si>
  <si>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</si>
  <si>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</si>
  <si>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</si>
  <si>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</si>
  <si>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</si>
  <si>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</si>
  <si>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</si>
  <si>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</si>
  <si>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</si>
  <si>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</si>
  <si>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</si>
  <si>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</si>
  <si>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</si>
  <si>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</si>
  <si>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</si>
  <si>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</si>
  <si>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</si>
  <si>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</si>
  <si>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</si>
  <si>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</si>
  <si>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</si>
  <si>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</si>
  <si>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</si>
  <si>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</si>
  <si>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</si>
  <si>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</si>
  <si>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</si>
  <si>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</si>
  <si>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</si>
  <si>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</si>
  <si>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</si>
  <si>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</si>
  <si>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</si>
  <si>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</si>
  <si>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</si>
  <si>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</si>
  <si>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</si>
  <si>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</si>
  <si>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</si>
  <si>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</si>
  <si>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</si>
  <si>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</si>
  <si>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</si>
  <si>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</si>
  <si>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</si>
  <si>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</si>
  <si>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</si>
  <si>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</si>
  <si>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</si>
  <si>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</si>
  <si>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</si>
  <si>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</si>
  <si>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</si>
  <si>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</si>
  <si>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</si>
  <si>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</si>
  <si>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</si>
  <si>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</si>
  <si>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</si>
  <si>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</si>
  <si>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</si>
  <si>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</si>
  <si>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</si>
  <si>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</si>
  <si>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</si>
  <si>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</si>
  <si>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</si>
  <si>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</si>
  <si>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</si>
  <si>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</si>
  <si>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</si>
  <si>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</si>
  <si>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</si>
  <si>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</si>
  <si>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</si>
  <si>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</si>
  <si>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</si>
  <si>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</si>
  <si>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</si>
  <si>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</si>
  <si>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</si>
  <si>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</si>
  <si>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</si>
  <si>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</si>
  <si>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</si>
  <si>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</si>
  <si>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</si>
  <si>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</si>
  <si>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</si>
  <si>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</si>
  <si>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</si>
  <si>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</si>
  <si>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</si>
  <si>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</si>
  <si>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</si>
  <si>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</si>
  <si>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</si>
  <si>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</si>
  <si>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</si>
  <si>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</si>
  <si>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</si>
  <si>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</si>
  <si>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</si>
  <si>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</si>
  <si>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</si>
  <si>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</si>
  <si>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</si>
  <si>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</si>
  <si>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</si>
  <si>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</si>
  <si>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</si>
  <si>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</si>
  <si>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</si>
  <si>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</si>
  <si>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</si>
  <si>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</si>
  <si>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</si>
  <si>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</si>
  <si>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</si>
  <si>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</si>
  <si>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</si>
  <si>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</si>
  <si>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</si>
  <si>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</si>
  <si>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</si>
  <si>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</si>
  <si>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</si>
  <si>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</si>
  <si>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</si>
  <si>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</si>
  <si>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</si>
  <si>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</si>
  <si>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</si>
  <si>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</si>
  <si>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</si>
  <si>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</si>
  <si>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</si>
  <si>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</si>
  <si>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</si>
  <si>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</si>
  <si>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</si>
  <si>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</si>
  <si>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</si>
  <si>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</si>
  <si>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</si>
  <si>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</si>
  <si>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</si>
  <si>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</si>
  <si>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</si>
  <si>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</si>
  <si>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</si>
  <si>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</si>
  <si>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</si>
  <si>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</si>
  <si>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</si>
  <si>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</si>
  <si>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</si>
  <si>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</si>
  <si>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</si>
  <si>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</si>
  <si>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</si>
  <si>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</si>
  <si>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</si>
  <si>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</si>
  <si>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</si>
  <si>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</si>
  <si>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</si>
  <si>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</si>
  <si>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</si>
  <si>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</si>
  <si>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</si>
  <si>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</si>
  <si>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</si>
  <si>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</si>
  <si>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</si>
  <si>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</si>
  <si>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</si>
  <si>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</si>
  <si>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</si>
  <si>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</si>
  <si>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</si>
  <si>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</si>
  <si>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</si>
  <si>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</si>
  <si>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</si>
  <si>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</si>
  <si>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</si>
  <si>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</si>
  <si>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</si>
  <si>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</si>
  <si>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</si>
  <si>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</si>
  <si>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</si>
  <si>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</si>
  <si>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</si>
  <si>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</si>
  <si>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</si>
  <si>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</si>
  <si>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</si>
  <si>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</si>
  <si>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</si>
  <si>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</si>
  <si>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</si>
  <si>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</si>
  <si>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</si>
  <si>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</si>
  <si>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</si>
  <si>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</si>
  <si>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</si>
  <si>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</si>
  <si>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</si>
  <si>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</si>
  <si>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</si>
  <si>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</si>
  <si>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</si>
  <si>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</si>
  <si>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</si>
  <si>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</si>
  <si>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</si>
  <si>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</si>
  <si>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</si>
  <si>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</si>
  <si>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</si>
  <si>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</si>
  <si>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</si>
  <si>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</si>
  <si>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</si>
  <si>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</si>
  <si>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</si>
  <si>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</si>
  <si>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</si>
  <si>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</si>
  <si>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</si>
  <si>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</si>
  <si>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</si>
  <si>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</si>
  <si>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</si>
  <si>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</si>
  <si>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</si>
  <si>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</si>
  <si>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</si>
  <si>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</si>
  <si>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</si>
  <si>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</si>
  <si>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</si>
  <si>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</si>
  <si>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</si>
  <si>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</si>
  <si>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</si>
  <si>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</si>
  <si>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</si>
  <si>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</si>
  <si>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</si>
  <si>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</si>
  <si>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</si>
  <si>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</si>
  <si>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</si>
  <si>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</si>
  <si>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</si>
  <si>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</si>
  <si>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</si>
  <si>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</si>
  <si>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</si>
  <si>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</si>
  <si>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</si>
  <si>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</si>
  <si>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</si>
  <si>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</si>
  <si>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</si>
  <si>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</si>
  <si>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</si>
  <si>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</si>
  <si>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</si>
  <si>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</si>
  <si>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</si>
  <si>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</si>
  <si>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</si>
  <si>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</si>
  <si>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</si>
  <si>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</si>
  <si>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</si>
  <si>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</si>
  <si>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</si>
  <si>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</si>
  <si>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</si>
  <si>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</si>
  <si>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</si>
  <si>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</si>
  <si>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</si>
  <si>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</si>
  <si>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</si>
  <si>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</si>
  <si>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</si>
  <si>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</si>
  <si>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</si>
  <si>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</si>
  <si>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</si>
  <si>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</si>
  <si>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</si>
  <si>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</si>
  <si>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</si>
  <si>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</si>
  <si>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</si>
  <si>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</si>
  <si>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</si>
  <si>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</si>
  <si>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</si>
  <si>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</si>
  <si>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</si>
  <si>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</si>
  <si>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</si>
  <si>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</si>
  <si>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</si>
  <si>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</si>
  <si>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</si>
  <si>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</si>
  <si>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</si>
  <si>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</si>
  <si>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</si>
  <si>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</si>
  <si>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</si>
  <si>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</si>
  <si>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</si>
  <si>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</si>
  <si>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</si>
  <si>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</si>
  <si>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</si>
  <si>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</si>
  <si>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</si>
  <si>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</si>
  <si>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</si>
  <si>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</si>
  <si>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</si>
  <si>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</si>
  <si>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</si>
  <si>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</si>
  <si>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</si>
  <si>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</si>
  <si>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</si>
  <si>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</si>
  <si>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</si>
  <si>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</si>
  <si>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</si>
  <si>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</si>
  <si>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</si>
  <si>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</si>
  <si>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</si>
  <si>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</si>
  <si>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</si>
  <si>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</si>
  <si>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</si>
  <si>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</si>
  <si>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</si>
  <si>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</si>
  <si>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</si>
  <si>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</si>
  <si>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</si>
  <si>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</si>
  <si>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</si>
  <si>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</si>
  <si>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</si>
  <si>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</si>
  <si>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</si>
  <si>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</si>
  <si>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</si>
  <si>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</si>
  <si>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</si>
  <si>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</si>
  <si>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</si>
  <si>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</si>
  <si>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</si>
  <si>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</si>
  <si>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</si>
  <si>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</si>
  <si>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</si>
  <si>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</si>
  <si>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</si>
  <si>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</si>
  <si>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</si>
  <si>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</si>
  <si>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</si>
  <si>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</si>
  <si>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</si>
  <si>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</si>
  <si>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</si>
  <si>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</si>
  <si>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</si>
  <si>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</si>
  <si>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</si>
  <si>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</si>
  <si>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</si>
  <si>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</si>
  <si>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</si>
  <si>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</si>
  <si>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</si>
  <si>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</si>
  <si>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</si>
  <si>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</si>
  <si>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</si>
  <si>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</si>
  <si>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</si>
  <si>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</si>
  <si>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</si>
  <si>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</si>
  <si>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</si>
  <si>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</si>
  <si>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</si>
  <si>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</si>
  <si>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</si>
  <si>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</si>
  <si>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</si>
  <si>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</si>
  <si>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</si>
  <si>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</si>
  <si>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</si>
  <si>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</si>
  <si>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</si>
  <si>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</si>
  <si>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</si>
  <si>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</si>
  <si>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</si>
  <si>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</si>
  <si>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</si>
  <si>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</si>
  <si>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</si>
  <si>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</si>
  <si>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</si>
  <si>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</si>
  <si>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</si>
  <si>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</si>
  <si>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</si>
  <si>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</si>
  <si>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</si>
  <si>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</si>
  <si>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</si>
  <si>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</si>
  <si>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</si>
  <si>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</si>
  <si>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</si>
  <si>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</si>
  <si>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</si>
  <si>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</si>
  <si>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</si>
  <si>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</si>
  <si>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</si>
  <si>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</si>
  <si>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</si>
  <si>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</si>
  <si>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</si>
  <si>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</si>
  <si>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</si>
  <si>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</si>
  <si>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</si>
  <si>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</si>
  <si>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</si>
  <si>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</si>
  <si>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</si>
  <si>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</si>
  <si>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</si>
  <si>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</si>
  <si>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</si>
  <si>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</si>
  <si>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</si>
  <si>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</si>
  <si>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</si>
  <si>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</si>
  <si>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</si>
  <si>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</si>
  <si>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</si>
  <si>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</si>
  <si>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</si>
  <si>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</si>
  <si>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</si>
  <si>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</si>
  <si>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</si>
  <si>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</si>
  <si>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</si>
  <si>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</si>
  <si>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</si>
  <si>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</si>
  <si>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</si>
  <si>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</si>
  <si>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</si>
  <si>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</si>
  <si>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</si>
  <si>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</si>
  <si>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</si>
  <si>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</si>
  <si>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</si>
  <si>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</si>
  <si>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</si>
  <si>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</si>
  <si>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</si>
  <si>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</si>
  <si>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</si>
  <si>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</si>
  <si>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</si>
  <si>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</si>
  <si>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</si>
  <si>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</si>
  <si>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</si>
  <si>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</si>
  <si>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</si>
  <si>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</si>
  <si>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</si>
  <si>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</si>
  <si>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</si>
  <si>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</si>
  <si>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</si>
  <si>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</si>
  <si>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</si>
  <si>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</si>
  <si>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</si>
  <si>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</si>
  <si>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</si>
  <si>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</si>
  <si>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</si>
  <si>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</si>
  <si>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</si>
  <si>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</si>
  <si>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</si>
  <si>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</si>
  <si>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</si>
  <si>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</si>
  <si>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</si>
  <si>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</si>
  <si>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</si>
  <si>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</si>
  <si>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</si>
  <si>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</si>
  <si>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</si>
  <si>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</si>
  <si>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</si>
  <si>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</si>
  <si>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</si>
  <si>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</si>
  <si>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</si>
  <si>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</si>
  <si>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</si>
  <si>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</si>
  <si>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</si>
  <si>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</si>
  <si>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</si>
  <si>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</si>
  <si>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</si>
  <si>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</si>
  <si>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</si>
  <si>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</si>
  <si>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</si>
  <si>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</si>
  <si>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</si>
  <si>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</si>
  <si>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</si>
  <si>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</si>
  <si>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</si>
  <si>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</si>
  <si>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</si>
  <si>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</si>
  <si>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</si>
  <si>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</si>
  <si>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</si>
  <si>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</si>
  <si>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</si>
  <si>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</si>
  <si>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</si>
  <si>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</si>
  <si>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</si>
  <si>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</si>
  <si>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</si>
  <si>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</si>
  <si>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</si>
  <si>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</si>
  <si>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</si>
  <si>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</si>
  <si>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</si>
  <si>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</si>
  <si>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</si>
  <si>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</si>
  <si>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</si>
  <si>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</si>
  <si>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</si>
  <si>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</si>
  <si>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</si>
  <si>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</si>
  <si>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</si>
  <si>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</si>
  <si>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</si>
  <si>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</si>
  <si>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</si>
  <si>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</si>
  <si>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</si>
  <si>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</si>
  <si>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</si>
  <si>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</si>
  <si>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</si>
  <si>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</si>
  <si>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</si>
  <si>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</si>
  <si>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</si>
  <si>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</si>
  <si>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</si>
  <si>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</si>
  <si>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</si>
  <si>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</si>
  <si>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</si>
  <si>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</si>
  <si>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</si>
  <si>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</si>
  <si>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</si>
  <si>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</si>
  <si>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</si>
  <si>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</si>
  <si>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</si>
  <si>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</si>
  <si>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</si>
  <si>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</si>
  <si>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</si>
  <si>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</si>
  <si>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</si>
  <si>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</si>
  <si>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</si>
  <si>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</si>
  <si>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</si>
  <si>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</si>
  <si>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</si>
  <si>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</si>
  <si>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</si>
  <si>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</si>
  <si>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</si>
  <si>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</si>
  <si>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</si>
  <si>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</si>
  <si>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</si>
  <si>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</si>
  <si>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</si>
  <si>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</si>
  <si>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</si>
  <si>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</si>
  <si>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</si>
  <si>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</si>
  <si>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</si>
  <si>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</si>
  <si>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</si>
  <si>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</si>
  <si>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</si>
  <si>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</si>
  <si>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</si>
  <si>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</si>
  <si>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</si>
  <si>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</si>
  <si>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公交设施规模</t>
    <phoneticPr fontId="228" type="noConversion"/>
  </si>
  <si>
    <t>建筑面积</t>
    <phoneticPr fontId="228" type="noConversion"/>
  </si>
  <si>
    <t>邮政所</t>
    <phoneticPr fontId="228" type="noConversion"/>
  </si>
  <si>
    <t>养老设施</t>
    <phoneticPr fontId="228" type="noConversion"/>
  </si>
  <si>
    <t>社区文化设施</t>
    <phoneticPr fontId="228" type="noConversion"/>
  </si>
  <si>
    <t>规划建筑面积</t>
    <phoneticPr fontId="228" type="noConversion"/>
  </si>
  <si>
    <t>地上</t>
    <phoneticPr fontId="228" type="noConversion"/>
  </si>
  <si>
    <t>住宅</t>
    <phoneticPr fontId="228" type="noConversion"/>
  </si>
  <si>
    <t>商业、办公</t>
    <phoneticPr fontId="228" type="noConversion"/>
  </si>
  <si>
    <t>不动产权证书</t>
    <phoneticPr fontId="228" type="noConversion"/>
  </si>
  <si>
    <t>京（2020）丰不动产权第0002545号</t>
    <phoneticPr fontId="228" type="noConversion"/>
  </si>
  <si>
    <t>北京市丰台区南苑石榴庄0517-L02地块F1住宅混合公建用地</t>
    <phoneticPr fontId="228" type="noConversion"/>
  </si>
  <si>
    <t>不动产权单元号110106004001GB03951W00000000</t>
    <phoneticPr fontId="228" type="noConversion"/>
  </si>
  <si>
    <t>土地面积</t>
    <phoneticPr fontId="228" type="noConversion"/>
  </si>
  <si>
    <t>土地终止日期</t>
    <phoneticPr fontId="228" type="noConversion"/>
  </si>
  <si>
    <t>吴薇</t>
  </si>
  <si>
    <t>郑燚</t>
  </si>
  <si>
    <t>抵押价格</t>
  </si>
  <si>
    <t>企业</t>
  </si>
  <si>
    <t>北京市丰台区南苑石榴庄0517-L02地块F1住宅混合公建用地</t>
  </si>
  <si>
    <t>《不动产权证书》[京（2020）丰不动产权第0002545号]</t>
    <phoneticPr fontId="6" type="noConversion"/>
  </si>
  <si>
    <t>一致</t>
  </si>
  <si>
    <t>符合</t>
  </si>
  <si>
    <t>商业</t>
  </si>
  <si>
    <t>《不动产权证书》[京（2020）丰不动产权第0002545号]</t>
    <phoneticPr fontId="3" type="noConversion"/>
  </si>
  <si>
    <t>《国有建设用地使用权出让合同》[电子监管号：1101002019B02868]及附件</t>
    <phoneticPr fontId="3" type="noConversion"/>
  </si>
  <si>
    <t>否</t>
  </si>
  <si>
    <t>居住项目</t>
  </si>
  <si>
    <t>无</t>
  </si>
  <si>
    <t>场地平整</t>
  </si>
  <si>
    <t>平整</t>
  </si>
  <si>
    <t>通路</t>
  </si>
  <si>
    <t>通电</t>
  </si>
  <si>
    <t>通上水</t>
  </si>
  <si>
    <t>地上</t>
  </si>
  <si>
    <t>平层住宅</t>
  </si>
  <si>
    <t>底商</t>
  </si>
  <si>
    <t>住宅</t>
    <phoneticPr fontId="7" type="noConversion"/>
  </si>
  <si>
    <t>商业</t>
    <phoneticPr fontId="7" type="noConversion"/>
  </si>
  <si>
    <t>较好</t>
    <phoneticPr fontId="21" type="noConversion"/>
  </si>
  <si>
    <t>较好</t>
    <phoneticPr fontId="21" type="noConversion"/>
  </si>
  <si>
    <t>一般</t>
    <phoneticPr fontId="21" type="noConversion"/>
  </si>
  <si>
    <t>好</t>
    <phoneticPr fontId="21" type="noConversion"/>
  </si>
  <si>
    <t>七通</t>
    <phoneticPr fontId="21" type="noConversion"/>
  </si>
  <si>
    <t>次干道</t>
    <phoneticPr fontId="21" type="noConversion"/>
  </si>
  <si>
    <t>多面临街</t>
  </si>
  <si>
    <t>是否有自持</t>
    <phoneticPr fontId="26" type="noConversion"/>
  </si>
  <si>
    <t>石榴庄土地</t>
    <phoneticPr fontId="3" type="noConversion"/>
  </si>
  <si>
    <r>
      <rPr>
        <sz val="11"/>
        <rFont val="仿宋_GB2312"/>
        <family val="3"/>
        <charset val="134"/>
      </rPr>
      <t>项目位置</t>
    </r>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</si>
  <si>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</si>
  <si>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</si>
  <si>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</si>
  <si>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</si>
  <si>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</si>
  <si>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</si>
  <si>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</si>
  <si>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</si>
  <si>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</si>
  <si>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</si>
  <si>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</si>
  <si>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</si>
  <si>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</si>
  <si>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北京市丰台区吴家村梅市口路1615-761、1615-762地块R2二类居住用地</t>
  </si>
  <si>
    <t>住宅用地</t>
  </si>
  <si>
    <t>≤3</t>
  </si>
  <si>
    <t>招标</t>
  </si>
  <si>
    <t>2019-12-13</t>
  </si>
  <si>
    <t>北京首钢二通建设投资有限公司</t>
  </si>
  <si>
    <t>4星</t>
  </si>
  <si>
    <t>北京市丰台区长辛店镇辛庄村A-46地块(丰台区长辛店镇辛庄村(一期)B地块土地一级开发项目)R2二类居住用地</t>
  </si>
  <si>
    <t>≤1.1</t>
  </si>
  <si>
    <t>挂牌</t>
  </si>
  <si>
    <t>2019-12-05</t>
  </si>
  <si>
    <t>保利(北京)房地产开发有限公司和北京首都开发股份有限公司联合体</t>
  </si>
  <si>
    <t>2星</t>
  </si>
  <si>
    <t>综合用地(含住宅)</t>
  </si>
  <si>
    <t>2019-09-25</t>
  </si>
  <si>
    <t>金茂北方企业管理(天津)有限公司和廊坊市合恩房地产开发有限公司联合体</t>
  </si>
  <si>
    <t>5星</t>
  </si>
  <si>
    <t>北京市丰台区花乡造甲村1512-653等地块(丰台区花乡造甲村土地一级开发项目南地块)综合性商业金融服务业及二类居住用地</t>
  </si>
  <si>
    <t>b4≤5,r2≤2.8</t>
  </si>
  <si>
    <t>2019-07-15</t>
  </si>
  <si>
    <t>北京中海地产有限公司</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</si>
  <si>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</si>
  <si>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</si>
  <si>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</si>
  <si>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</si>
  <si>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</si>
  <si>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2019-01-11</t>
  </si>
  <si>
    <t>北京京投置地房地产有限公司、北京郭公庄投资管理公司和北京市基础设施投资有限公司联合体</t>
  </si>
  <si>
    <t>北京市丰台区花乡白盆窑村BPY-L011地块R2二类居住用地</t>
  </si>
  <si>
    <t>2018-11-26</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</si>
  <si>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</si>
  <si>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</si>
  <si>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</si>
  <si>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</si>
  <si>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</si>
  <si>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</si>
  <si>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</si>
  <si>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</si>
  <si>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</si>
  <si>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</si>
  <si>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</si>
  <si>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</si>
  <si>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</si>
  <si>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</si>
  <si>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</si>
  <si>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</si>
  <si>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</si>
  <si>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</si>
  <si>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</si>
  <si>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</si>
  <si>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</si>
  <si>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</si>
  <si>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</si>
  <si>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</si>
  <si>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</si>
  <si>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</si>
  <si>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</si>
  <si>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</si>
  <si>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</si>
  <si>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</si>
  <si>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</si>
  <si>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3星</t>
  </si>
  <si>
    <t>计算容积率</t>
    <phoneticPr fontId="228" type="noConversion"/>
  </si>
  <si>
    <t>不动产收益法</t>
  </si>
  <si>
    <t>土地（套用方法）</t>
  </si>
  <si>
    <t>押一</t>
  </si>
  <si>
    <t>按租金收入计税</t>
  </si>
  <si>
    <t>钢混</t>
  </si>
  <si>
    <t>售价</t>
  </si>
  <si>
    <t>住宅</t>
    <phoneticPr fontId="26" type="noConversion"/>
  </si>
  <si>
    <t>否</t>
    <phoneticPr fontId="26" type="noConversion"/>
  </si>
  <si>
    <t>是</t>
    <phoneticPr fontId="26" type="noConversion"/>
  </si>
  <si>
    <t>否</t>
    <phoneticPr fontId="26" type="noConversion"/>
  </si>
  <si>
    <t>是</t>
    <phoneticPr fontId="26" type="noConversion"/>
  </si>
  <si>
    <t>快速路</t>
  </si>
  <si>
    <t>快速路</t>
    <phoneticPr fontId="26" type="noConversion"/>
  </si>
  <si>
    <t>主干道</t>
    <phoneticPr fontId="26" type="noConversion"/>
  </si>
  <si>
    <t>次干道</t>
  </si>
  <si>
    <t>次干道</t>
    <phoneticPr fontId="26" type="noConversion"/>
  </si>
  <si>
    <t>支路</t>
  </si>
  <si>
    <t>支路</t>
    <phoneticPr fontId="26" type="noConversion"/>
  </si>
  <si>
    <t>一级</t>
    <phoneticPr fontId="26" type="noConversion"/>
  </si>
  <si>
    <t>二级</t>
    <phoneticPr fontId="26" type="noConversion"/>
  </si>
  <si>
    <t>三级</t>
    <phoneticPr fontId="26" type="noConversion"/>
  </si>
  <si>
    <t>四级</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</si>
  <si>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</si>
  <si>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</si>
  <si>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</si>
  <si>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</si>
  <si>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</si>
  <si>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经营性用房</t>
    <phoneticPr fontId="228" type="noConversion"/>
  </si>
  <si>
    <t>总成交单价</t>
    <phoneticPr fontId="228" type="noConversion"/>
  </si>
  <si>
    <t>限价</t>
    <phoneticPr fontId="228" type="noConversion"/>
  </si>
  <si>
    <t>起拍价</t>
    <phoneticPr fontId="228" type="noConversion"/>
  </si>
  <si>
    <t>正常</t>
  </si>
  <si>
    <t>否</t>
    <phoneticPr fontId="26" type="noConversion"/>
  </si>
  <si>
    <t>较好</t>
  </si>
  <si>
    <t>五级</t>
    <phoneticPr fontId="26" type="noConversion"/>
  </si>
  <si>
    <t>六级</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</si>
  <si>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</si>
  <si>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</si>
  <si>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</si>
  <si>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</si>
  <si>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</si>
  <si>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</si>
  <si>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临时三通</t>
  </si>
  <si>
    <t>临时三通</t>
    <phoneticPr fontId="26" type="noConversion"/>
  </si>
  <si>
    <t>较好</t>
    <phoneticPr fontId="26" type="noConversion"/>
  </si>
  <si>
    <t>一般</t>
  </si>
  <si>
    <t>好</t>
  </si>
  <si>
    <t>限价</t>
    <phoneticPr fontId="26" type="noConversion"/>
  </si>
  <si>
    <r>
      <t>70/90</t>
    </r>
    <r>
      <rPr>
        <sz val="11"/>
        <rFont val="宋体"/>
        <family val="3"/>
        <charset val="134"/>
      </rPr>
      <t>限制</t>
    </r>
    <phoneticPr fontId="26" type="noConversion"/>
  </si>
  <si>
    <t>无</t>
    <phoneticPr fontId="26" type="noConversion"/>
  </si>
  <si>
    <t>无</t>
    <phoneticPr fontId="26" type="noConversion"/>
  </si>
  <si>
    <t>有</t>
    <phoneticPr fontId="26" type="noConversion"/>
  </si>
  <si>
    <t>有</t>
    <phoneticPr fontId="26" type="noConversion"/>
  </si>
  <si>
    <r>
      <t>7-8</t>
    </r>
    <r>
      <rPr>
        <sz val="11"/>
        <rFont val="宋体"/>
        <family val="3"/>
        <charset val="134"/>
      </rPr>
      <t>万</t>
    </r>
    <phoneticPr fontId="26" type="noConversion"/>
  </si>
  <si>
    <r>
      <t>6-7</t>
    </r>
    <r>
      <rPr>
        <sz val="11"/>
        <rFont val="宋体"/>
        <family val="3"/>
        <charset val="134"/>
      </rPr>
      <t>万</t>
    </r>
    <phoneticPr fontId="26" type="noConversion"/>
  </si>
  <si>
    <t>6-7万</t>
    <phoneticPr fontId="26" type="noConversion"/>
  </si>
  <si>
    <r>
      <t>7-8</t>
    </r>
    <r>
      <rPr>
        <sz val="11"/>
        <color indexed="8"/>
        <rFont val="宋体"/>
        <family val="3"/>
        <charset val="134"/>
      </rPr>
      <t>万</t>
    </r>
    <phoneticPr fontId="26" type="noConversion"/>
  </si>
  <si>
    <r>
      <t>6-7</t>
    </r>
    <r>
      <rPr>
        <sz val="11"/>
        <color indexed="8"/>
        <rFont val="宋体"/>
        <family val="3"/>
        <charset val="134"/>
      </rPr>
      <t>万</t>
    </r>
    <phoneticPr fontId="26" type="noConversion"/>
  </si>
  <si>
    <t>楼面地价</t>
  </si>
  <si>
    <t>一般</t>
    <phoneticPr fontId="21"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</si>
  <si>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</si>
  <si>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比较法-住宅、综合</t>
  </si>
  <si>
    <t>剩余法-待开发</t>
  </si>
  <si>
    <t>60-70（含）</t>
  </si>
  <si>
    <t>次干道</t>
    <phoneticPr fontId="21" type="noConversion"/>
  </si>
  <si>
    <t>快速路</t>
    <phoneticPr fontId="21" type="noConversion"/>
  </si>
  <si>
    <t>主干道</t>
    <phoneticPr fontId="21" type="noConversion"/>
  </si>
  <si>
    <t>次干道</t>
    <phoneticPr fontId="21" type="noConversion"/>
  </si>
  <si>
    <t>支路</t>
    <phoneticPr fontId="21" type="noConversion"/>
  </si>
  <si>
    <t>钢混结构</t>
    <phoneticPr fontId="21" type="noConversion"/>
  </si>
  <si>
    <t>高档</t>
    <phoneticPr fontId="21" type="noConversion"/>
  </si>
  <si>
    <t>精装修</t>
    <phoneticPr fontId="21" type="noConversion"/>
  </si>
  <si>
    <t>专业物业</t>
    <phoneticPr fontId="21" type="noConversion"/>
  </si>
  <si>
    <t>普通物业</t>
    <phoneticPr fontId="21" type="noConversion"/>
  </si>
  <si>
    <t>七通</t>
    <phoneticPr fontId="21" type="noConversion"/>
  </si>
  <si>
    <t>豪装修</t>
    <phoneticPr fontId="21" type="noConversion"/>
  </si>
  <si>
    <t>普通装修</t>
    <phoneticPr fontId="21" type="noConversion"/>
  </si>
  <si>
    <t>简单装修</t>
    <phoneticPr fontId="21" type="noConversion"/>
  </si>
  <si>
    <t>毛坯</t>
    <phoneticPr fontId="21" type="noConversion"/>
  </si>
  <si>
    <t>北京金茂府</t>
  </si>
  <si>
    <t>住宅</t>
    <phoneticPr fontId="21" type="noConversion"/>
  </si>
  <si>
    <r>
      <rPr>
        <b/>
        <sz val="11"/>
        <rFont val="仿宋_GB2312"/>
        <family val="3"/>
        <charset val="134"/>
      </rPr>
      <t>估价对象小高层住宅用房的比较价格（楼面单价，元</t>
    </r>
    <r>
      <rPr>
        <b/>
        <sz val="11"/>
        <rFont val="Arial"/>
        <family val="2"/>
      </rPr>
      <t>/</t>
    </r>
    <r>
      <rPr>
        <b/>
        <sz val="11"/>
        <rFont val="仿宋_GB2312"/>
        <family val="3"/>
        <charset val="134"/>
      </rPr>
      <t>平方米）</t>
    </r>
    <phoneticPr fontId="3" type="noConversion"/>
  </si>
  <si>
    <t>类型</t>
  </si>
  <si>
    <t>项目名称</t>
  </si>
  <si>
    <t>进度</t>
  </si>
  <si>
    <t>住宅可售</t>
  </si>
  <si>
    <t>与本案直线距离（km）</t>
  </si>
  <si>
    <t>直接竞品</t>
  </si>
  <si>
    <t>花乡</t>
  </si>
  <si>
    <t>在售</t>
  </si>
  <si>
    <t>丽泽</t>
  </si>
  <si>
    <t>西局</t>
  </si>
  <si>
    <t>方庄</t>
  </si>
  <si>
    <t>首开璞瑅公馆</t>
  </si>
  <si>
    <t>宋家庄</t>
  </si>
  <si>
    <t>板块</t>
    <phoneticPr fontId="228" type="noConversion"/>
  </si>
  <si>
    <t>可研</t>
    <phoneticPr fontId="228" type="noConversion"/>
  </si>
  <si>
    <t>住宅</t>
    <phoneticPr fontId="228" type="noConversion"/>
  </si>
  <si>
    <t>房天下</t>
    <phoneticPr fontId="228" type="noConversion"/>
  </si>
  <si>
    <t>泰禾金府大院</t>
    <phoneticPr fontId="228" type="noConversion"/>
  </si>
  <si>
    <t>名称</t>
    <phoneticPr fontId="228" type="noConversion"/>
  </si>
  <si>
    <t>开盘时间</t>
    <phoneticPr fontId="228" type="noConversion"/>
  </si>
  <si>
    <t>别墅</t>
    <phoneticPr fontId="228" type="noConversion"/>
  </si>
  <si>
    <t>2800万一套</t>
    <phoneticPr fontId="228" type="noConversion"/>
  </si>
  <si>
    <t>价格</t>
    <phoneticPr fontId="228" type="noConversion"/>
  </si>
  <si>
    <t>葛洲坝北京中国府</t>
    <phoneticPr fontId="228" type="noConversion"/>
  </si>
  <si>
    <t>建筑规模</t>
    <phoneticPr fontId="228" type="noConversion"/>
  </si>
  <si>
    <t>容积率</t>
    <phoneticPr fontId="228" type="noConversion"/>
  </si>
  <si>
    <t>高层</t>
  </si>
  <si>
    <t>高层</t>
    <phoneticPr fontId="228" type="noConversion"/>
  </si>
  <si>
    <t>中粮天恒·天悦壹号</t>
    <phoneticPr fontId="228" type="noConversion"/>
  </si>
  <si>
    <r>
      <t>6</t>
    </r>
    <r>
      <rPr>
        <sz val="11"/>
        <color theme="1"/>
        <rFont val="宋体"/>
        <family val="3"/>
        <charset val="134"/>
        <scheme val="minor"/>
      </rPr>
      <t>.6/8.8</t>
    </r>
    <phoneticPr fontId="228" type="noConversion"/>
  </si>
  <si>
    <t>高层</t>
    <phoneticPr fontId="228" type="noConversion"/>
  </si>
  <si>
    <t>泰禾西府大院</t>
    <phoneticPr fontId="228" type="noConversion"/>
  </si>
  <si>
    <t>泰禾西府大院</t>
    <phoneticPr fontId="228" type="noConversion"/>
  </si>
  <si>
    <t>未定</t>
    <phoneticPr fontId="228" type="noConversion"/>
  </si>
  <si>
    <t>懋源·璟岳</t>
    <phoneticPr fontId="228" type="noConversion"/>
  </si>
  <si>
    <r>
      <t>1</t>
    </r>
    <r>
      <rPr>
        <sz val="11"/>
        <color theme="1"/>
        <rFont val="宋体"/>
        <family val="3"/>
        <charset val="134"/>
        <scheme val="minor"/>
      </rPr>
      <t>1/14.98</t>
    </r>
    <phoneticPr fontId="228" type="noConversion"/>
  </si>
  <si>
    <t>花园洋房 联排 合院</t>
    <phoneticPr fontId="228" type="noConversion"/>
  </si>
  <si>
    <r>
      <t>别墅1</t>
    </r>
    <r>
      <rPr>
        <sz val="11"/>
        <color theme="1"/>
        <rFont val="宋体"/>
        <family val="3"/>
        <charset val="134"/>
        <scheme val="minor"/>
      </rPr>
      <t>16000，洋房</t>
    </r>
    <r>
      <rPr>
        <sz val="11"/>
        <color theme="1"/>
        <rFont val="宋体"/>
        <family val="3"/>
        <charset val="134"/>
        <scheme val="minor"/>
      </rPr>
      <t>113000</t>
    </r>
    <phoneticPr fontId="228" type="noConversion"/>
  </si>
  <si>
    <t>懋源璟岳</t>
    <phoneticPr fontId="228" type="noConversion"/>
  </si>
  <si>
    <t>北京金茂府</t>
    <phoneticPr fontId="228" type="noConversion"/>
  </si>
  <si>
    <t>小高层</t>
  </si>
  <si>
    <t>小高层</t>
    <phoneticPr fontId="21" type="noConversion"/>
  </si>
  <si>
    <t>洋房</t>
    <phoneticPr fontId="21" type="noConversion"/>
  </si>
  <si>
    <t>高层</t>
    <phoneticPr fontId="21" type="noConversion"/>
  </si>
  <si>
    <t>支路</t>
    <phoneticPr fontId="21" type="noConversion"/>
  </si>
  <si>
    <t>快速路</t>
    <phoneticPr fontId="21" type="noConversion"/>
  </si>
  <si>
    <t>支路</t>
    <phoneticPr fontId="21" type="noConversion"/>
  </si>
  <si>
    <t>钢混结构</t>
  </si>
  <si>
    <t>高档</t>
  </si>
  <si>
    <t>精装修</t>
  </si>
  <si>
    <t>专业物业</t>
  </si>
  <si>
    <t>豪装修</t>
  </si>
  <si>
    <r>
      <t>精装1</t>
    </r>
    <r>
      <rPr>
        <sz val="11"/>
        <color theme="1"/>
        <rFont val="宋体"/>
        <family val="3"/>
        <charset val="134"/>
        <scheme val="minor"/>
      </rPr>
      <t>0000</t>
    </r>
    <phoneticPr fontId="228" type="noConversion"/>
  </si>
  <si>
    <r>
      <t>精装1</t>
    </r>
    <r>
      <rPr>
        <sz val="11"/>
        <color theme="1"/>
        <rFont val="宋体"/>
        <family val="3"/>
        <charset val="134"/>
        <scheme val="minor"/>
      </rPr>
      <t>0000</t>
    </r>
    <phoneticPr fontId="228" type="noConversion"/>
  </si>
  <si>
    <r>
      <t>豪装1</t>
    </r>
    <r>
      <rPr>
        <sz val="11"/>
        <color theme="1"/>
        <rFont val="宋体"/>
        <family val="3"/>
        <charset val="134"/>
        <scheme val="minor"/>
      </rPr>
      <t>50000</t>
    </r>
    <phoneticPr fontId="228" type="noConversion"/>
  </si>
  <si>
    <t>豪装150000</t>
    <phoneticPr fontId="228" type="noConversion"/>
  </si>
  <si>
    <t>北京市丰台区南苑石榴庄0517-L02地块F1住宅混合公建用地</t>
    <phoneticPr fontId="6" type="noConversion"/>
  </si>
  <si>
    <t>《国有建设用地使用权出让合同》[电子监管号：1101002019B02868]及附件</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</si>
</sst>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1"/>
      <name val="华文楷体"/>
      <family val="3"/>
      <charset val="134"/>
    </font>
    <font>
      <sz val="11"/>
      <color rgb="FF000000"/>
      <name val="华文楷体"/>
      <family val="3"/>
      <charset val="134"/>
    </font>
    <font>
      <sz val="11"/>
      <color rgb="FF333333"/>
      <name val="Microsoft YaHei UI"/>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0" xfId="0" applyFont="1">
      <alignment vertical="center"/>
    </xf>
    <xf numFmtId="31" fontId="0" fillId="0" borderId="0" xfId="0" applyNumberFormat="1">
      <alignment vertical="center"/>
    </xf>
    <xf numFmtId="49" fontId="140" fillId="0" borderId="17" xfId="0" applyNumberFormat="1" applyFont="1" applyFill="1" applyBorder="1" applyAlignment="1" applyProtection="1">
      <alignment horizontal="left" vertical="center"/>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64" fillId="0" borderId="0" xfId="0" applyFont="1" applyAlignment="1"/>
    <xf numFmtId="0" fontId="164" fillId="9" borderId="0" xfId="0" applyFont="1" applyFill="1" applyAlignment="1"/>
    <xf numFmtId="0" fontId="164" fillId="18" borderId="0" xfId="0" applyFont="1" applyFill="1" applyAlignment="1"/>
    <xf numFmtId="0" fontId="164" fillId="0" borderId="0" xfId="0" applyFont="1" applyAlignment="1">
      <alignment wrapText="1"/>
    </xf>
    <xf numFmtId="0" fontId="164" fillId="0" borderId="0" xfId="0" applyFont="1" applyAlignment="1">
      <alignment horizontal="center" vertical="center" wrapText="1"/>
    </xf>
    <xf numFmtId="0" fontId="164" fillId="0" borderId="0" xfId="0" applyFont="1" applyAlignment="1">
      <alignment horizontal="center" vertical="center"/>
    </xf>
    <xf numFmtId="0" fontId="164" fillId="9" borderId="0" xfId="0" applyFont="1" applyFill="1" applyAlignment="1">
      <alignment horizontal="center" vertical="center"/>
    </xf>
    <xf numFmtId="0" fontId="164" fillId="18" borderId="0" xfId="0" applyFont="1" applyFill="1" applyAlignment="1">
      <alignment horizontal="center" vertical="center"/>
    </xf>
    <xf numFmtId="0" fontId="164" fillId="9" borderId="0" xfId="0" applyFont="1" applyFill="1" applyAlignment="1">
      <alignment wrapText="1"/>
    </xf>
    <xf numFmtId="0" fontId="164" fillId="18" borderId="0" xfId="0" applyFont="1" applyFill="1" applyAlignment="1">
      <alignment wrapText="1"/>
    </xf>
    <xf numFmtId="0" fontId="164" fillId="6" borderId="0" xfId="0" applyFont="1" applyFill="1" applyAlignment="1">
      <alignment wrapText="1"/>
    </xf>
    <xf numFmtId="0" fontId="164" fillId="6" borderId="0" xfId="0" applyFont="1" applyFill="1" applyAlignment="1">
      <alignment horizontal="center" vertical="center"/>
    </xf>
    <xf numFmtId="0" fontId="164" fillId="6" borderId="0" xfId="0" applyFont="1"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81" fillId="0" borderId="21"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64" fillId="0" borderId="0" xfId="0" applyFont="1" applyFill="1" applyAlignment="1">
      <alignment wrapText="1"/>
    </xf>
    <xf numFmtId="0" fontId="164" fillId="0" borderId="0" xfId="0" applyFont="1" applyFill="1" applyAlignment="1">
      <alignment horizontal="center" vertical="center"/>
    </xf>
    <xf numFmtId="0" fontId="164" fillId="0" borderId="0" xfId="0" applyFont="1" applyFill="1" applyAlignment="1"/>
    <xf numFmtId="179" fontId="71" fillId="0" borderId="6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5" fillId="0" borderId="0" xfId="0" applyFont="1" applyFill="1" applyAlignment="1">
      <alignment horizontal="center" vertical="center" wrapText="1" readingOrder="1"/>
    </xf>
    <xf numFmtId="0" fontId="276" fillId="0" borderId="0" xfId="0" applyFont="1" applyAlignment="1">
      <alignment horizontal="center" vertical="center" wrapText="1" readingOrder="1"/>
    </xf>
    <xf numFmtId="0" fontId="276" fillId="18" borderId="0" xfId="0" applyFont="1" applyFill="1" applyAlignment="1">
      <alignment horizontal="center" vertical="center" wrapText="1" readingOrder="1"/>
    </xf>
    <xf numFmtId="0" fontId="0" fillId="18" borderId="0" xfId="0" applyFill="1">
      <alignment vertical="center"/>
    </xf>
    <xf numFmtId="0" fontId="145" fillId="18" borderId="0" xfId="0" applyFont="1" applyFill="1">
      <alignment vertical="center"/>
    </xf>
    <xf numFmtId="57" fontId="0" fillId="18" borderId="0" xfId="0" applyNumberFormat="1" applyFill="1">
      <alignment vertical="center"/>
    </xf>
    <xf numFmtId="0" fontId="277" fillId="0" borderId="0" xfId="0" applyFont="1">
      <alignment vertical="center"/>
    </xf>
    <xf numFmtId="0" fontId="145" fillId="18" borderId="0" xfId="0" applyFont="1" applyFill="1" applyAlignment="1">
      <alignment vertical="center" wrapText="1"/>
    </xf>
    <xf numFmtId="0" fontId="145" fillId="0" borderId="0" xfId="0" applyFont="1" applyFill="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76" fillId="0" borderId="0" xfId="0" applyFont="1" applyAlignment="1">
      <alignment horizontal="center" vertical="center" wrapText="1" readingOrder="1"/>
    </xf>
    <xf numFmtId="0" fontId="145" fillId="0" borderId="0" xfId="0" applyFont="1" applyAlignment="1">
      <alignment horizontal="center" vertical="center"/>
    </xf>
    <xf numFmtId="0" fontId="0" fillId="0" borderId="0" xfId="0"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762000</xdr:colOff>
      <xdr:row>53</xdr:row>
      <xdr:rowOff>49739</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714875"/>
          <a:ext cx="10058400" cy="5383739"/>
        </a:xfrm>
        <a:prstGeom prst="rect">
          <a:avLst/>
        </a:prstGeom>
      </xdr:spPr>
    </xdr:pic>
    <xdr:clientData/>
  </xdr:twoCellAnchor>
  <xdr:twoCellAnchor editAs="oneCell">
    <xdr:from>
      <xdr:col>0</xdr:col>
      <xdr:colOff>142875</xdr:colOff>
      <xdr:row>53</xdr:row>
      <xdr:rowOff>9525</xdr:rowOff>
    </xdr:from>
    <xdr:to>
      <xdr:col>10</xdr:col>
      <xdr:colOff>95250</xdr:colOff>
      <xdr:row>64</xdr:row>
      <xdr:rowOff>68266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10058400"/>
          <a:ext cx="10058400" cy="1735141"/>
        </a:xfrm>
        <a:prstGeom prst="rect">
          <a:avLst/>
        </a:prstGeom>
      </xdr:spPr>
    </xdr:pic>
    <xdr:clientData/>
  </xdr:twoCellAnchor>
  <xdr:twoCellAnchor editAs="oneCell">
    <xdr:from>
      <xdr:col>0</xdr:col>
      <xdr:colOff>161925</xdr:colOff>
      <xdr:row>64</xdr:row>
      <xdr:rowOff>104775</xdr:rowOff>
    </xdr:from>
    <xdr:to>
      <xdr:col>10</xdr:col>
      <xdr:colOff>114300</xdr:colOff>
      <xdr:row>99</xdr:row>
      <xdr:rowOff>66972</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1925" y="11830050"/>
          <a:ext cx="10058400" cy="5296197"/>
        </a:xfrm>
        <a:prstGeom prst="rect">
          <a:avLst/>
        </a:prstGeom>
      </xdr:spPr>
    </xdr:pic>
    <xdr:clientData/>
  </xdr:twoCellAnchor>
  <xdr:twoCellAnchor editAs="oneCell">
    <xdr:from>
      <xdr:col>0</xdr:col>
      <xdr:colOff>0</xdr:colOff>
      <xdr:row>101</xdr:row>
      <xdr:rowOff>0</xdr:rowOff>
    </xdr:from>
    <xdr:to>
      <xdr:col>9</xdr:col>
      <xdr:colOff>762000</xdr:colOff>
      <xdr:row>133</xdr:row>
      <xdr:rowOff>74629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364075"/>
          <a:ext cx="10058400" cy="4951429"/>
        </a:xfrm>
        <a:prstGeom prst="rect">
          <a:avLst/>
        </a:prstGeom>
      </xdr:spPr>
    </xdr:pic>
    <xdr:clientData/>
  </xdr:twoCellAnchor>
  <xdr:twoCellAnchor editAs="oneCell">
    <xdr:from>
      <xdr:col>2</xdr:col>
      <xdr:colOff>219075</xdr:colOff>
      <xdr:row>133</xdr:row>
      <xdr:rowOff>142875</xdr:rowOff>
    </xdr:from>
    <xdr:to>
      <xdr:col>9</xdr:col>
      <xdr:colOff>658012</xdr:colOff>
      <xdr:row>145</xdr:row>
      <xdr:rowOff>95499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14825" y="22383750"/>
          <a:ext cx="5639587" cy="1781424"/>
        </a:xfrm>
        <a:prstGeom prst="rect">
          <a:avLst/>
        </a:prstGeom>
      </xdr:spPr>
    </xdr:pic>
    <xdr:clientData/>
  </xdr:twoCellAnchor>
  <xdr:twoCellAnchor editAs="oneCell">
    <xdr:from>
      <xdr:col>0</xdr:col>
      <xdr:colOff>0</xdr:colOff>
      <xdr:row>146</xdr:row>
      <xdr:rowOff>0</xdr:rowOff>
    </xdr:from>
    <xdr:to>
      <xdr:col>9</xdr:col>
      <xdr:colOff>762000</xdr:colOff>
      <xdr:row>180</xdr:row>
      <xdr:rowOff>93909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4222075"/>
          <a:ext cx="10058400" cy="5275509"/>
        </a:xfrm>
        <a:prstGeom prst="rect">
          <a:avLst/>
        </a:prstGeom>
      </xdr:spPr>
    </xdr:pic>
    <xdr:clientData/>
  </xdr:twoCellAnchor>
  <xdr:twoCellAnchor editAs="oneCell">
    <xdr:from>
      <xdr:col>2</xdr:col>
      <xdr:colOff>533400</xdr:colOff>
      <xdr:row>180</xdr:row>
      <xdr:rowOff>114300</xdr:rowOff>
    </xdr:from>
    <xdr:to>
      <xdr:col>9</xdr:col>
      <xdr:colOff>715126</xdr:colOff>
      <xdr:row>192</xdr:row>
      <xdr:rowOff>47871</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29150" y="29517975"/>
          <a:ext cx="5382376" cy="1762371"/>
        </a:xfrm>
        <a:prstGeom prst="rect">
          <a:avLst/>
        </a:prstGeom>
      </xdr:spPr>
    </xdr:pic>
    <xdr:clientData/>
  </xdr:twoCellAnchor>
  <xdr:twoCellAnchor editAs="oneCell">
    <xdr:from>
      <xdr:col>10</xdr:col>
      <xdr:colOff>0</xdr:colOff>
      <xdr:row>20</xdr:row>
      <xdr:rowOff>0</xdr:rowOff>
    </xdr:from>
    <xdr:to>
      <xdr:col>15</xdr:col>
      <xdr:colOff>48554</xdr:colOff>
      <xdr:row>46</xdr:row>
      <xdr:rowOff>48185</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106025" y="5019675"/>
          <a:ext cx="6658904" cy="4010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9</xdr:col>
      <xdr:colOff>3324225</xdr:colOff>
      <xdr:row>31</xdr:row>
      <xdr:rowOff>25142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48025"/>
          <a:ext cx="10058400" cy="3625592"/>
        </a:xfrm>
        <a:prstGeom prst="rect">
          <a:avLst/>
        </a:prstGeom>
      </xdr:spPr>
    </xdr:pic>
    <xdr:clientData/>
  </xdr:twoCellAnchor>
  <xdr:twoCellAnchor editAs="oneCell">
    <xdr:from>
      <xdr:col>0</xdr:col>
      <xdr:colOff>0</xdr:colOff>
      <xdr:row>32</xdr:row>
      <xdr:rowOff>0</xdr:rowOff>
    </xdr:from>
    <xdr:to>
      <xdr:col>9</xdr:col>
      <xdr:colOff>3239892</xdr:colOff>
      <xdr:row>58</xdr:row>
      <xdr:rowOff>105412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19925"/>
          <a:ext cx="9974067" cy="4563112"/>
        </a:xfrm>
        <a:prstGeom prst="rect">
          <a:avLst/>
        </a:prstGeom>
      </xdr:spPr>
    </xdr:pic>
    <xdr:clientData/>
  </xdr:twoCellAnchor>
  <xdr:twoCellAnchor editAs="oneCell">
    <xdr:from>
      <xdr:col>0</xdr:col>
      <xdr:colOff>0</xdr:colOff>
      <xdr:row>59</xdr:row>
      <xdr:rowOff>0</xdr:rowOff>
    </xdr:from>
    <xdr:to>
      <xdr:col>9</xdr:col>
      <xdr:colOff>2658786</xdr:colOff>
      <xdr:row>81</xdr:row>
      <xdr:rowOff>38632</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649075"/>
          <a:ext cx="9392961" cy="3810532"/>
        </a:xfrm>
        <a:prstGeom prst="rect">
          <a:avLst/>
        </a:prstGeom>
      </xdr:spPr>
    </xdr:pic>
    <xdr:clientData/>
  </xdr:twoCellAnchor>
  <xdr:twoCellAnchor editAs="oneCell">
    <xdr:from>
      <xdr:col>0</xdr:col>
      <xdr:colOff>0</xdr:colOff>
      <xdr:row>83</xdr:row>
      <xdr:rowOff>0</xdr:rowOff>
    </xdr:from>
    <xdr:to>
      <xdr:col>9</xdr:col>
      <xdr:colOff>3505199</xdr:colOff>
      <xdr:row>101</xdr:row>
      <xdr:rowOff>33180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5763875"/>
          <a:ext cx="10239374" cy="31192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2650</v>
      </c>
      <c r="B1" s="2846" t="s">
        <v>2747</v>
      </c>
    </row>
    <row r="2" spans="1:55" s="2850" customFormat="1" ht="15" thickTop="1">
      <c r="A2" s="2848" t="s">
        <v>2654</v>
      </c>
      <c r="B2" s="2849" t="str">
        <f>'预评函-封皮'!B37</f>
        <v>北京市北京市丰台区南苑石榴庄0517-L02地块F1住宅混合公建用地出让国有建设用地使用权抵押价格预评估</v>
      </c>
      <c r="AX2" s="2851"/>
      <c r="AZ2" s="2851"/>
      <c r="BA2" s="2852"/>
      <c r="BC2" s="2852"/>
    </row>
    <row r="3" spans="1:55" s="2853" customFormat="1">
      <c r="A3" s="2832" t="s">
        <v>2655</v>
      </c>
      <c r="B3" s="2835">
        <f>'预评函-封皮'!B40</f>
        <v>0</v>
      </c>
    </row>
    <row r="4" spans="1:55" s="2834" customFormat="1">
      <c r="A4" s="2832" t="s">
        <v>2656</v>
      </c>
      <c r="B4" s="2833" t="str">
        <f>'预评函-封皮'!B46</f>
        <v>吴薇、郑燚</v>
      </c>
      <c r="N4" s="2834" t="str">
        <f>'预评函-1'!A28</f>
        <v/>
      </c>
    </row>
    <row r="5" spans="1:55" s="2847" customFormat="1" ht="15" thickBot="1">
      <c r="A5" s="2854" t="s">
        <v>2657</v>
      </c>
      <c r="B5" s="2855" t="str">
        <f>'预评函-封皮'!B49</f>
        <v>康正预评字号</v>
      </c>
    </row>
    <row r="6" spans="1:55" s="2856" customFormat="1" ht="15" thickTop="1">
      <c r="A6" s="2848" t="s">
        <v>2699</v>
      </c>
      <c r="B6" s="2849" t="str">
        <f>'预评函-1'!A4</f>
        <v>受贵公司委托，我公司对北京市北京市丰台区南苑石榴庄0517-L02地块F1住宅混合公建用地出让国有建设用地使用权抵押价格进行了预评估。</v>
      </c>
      <c r="AM6" s="2857"/>
    </row>
    <row r="7" spans="1:55" s="2831" customFormat="1">
      <c r="A7" s="2832" t="s">
        <v>2651</v>
      </c>
      <c r="B7" s="2833" t="str">
        <f>'预评函-1'!A6</f>
        <v>估价对象为使用的、位于北京市北京市丰台区南苑石榴庄0517-L02地块F1住宅混合公建用地出让国有建设用地使用权。根据《不动产权证书》[京（2020）丰不动产权第0002545号]，估价对象（分摊）出让国有建设用地使用权面积为21023.4平方米。根据《国有建设用地使用权出让合同》[电子监管号：1101002019B02868]及附件，估价对象规划建筑面积为63070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拟使用北京市北京市丰台区南苑石榴庄0517-L02地块F1住宅混合公建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2653</v>
      </c>
      <c r="B10" s="2833" t="str">
        <f>'预评函-1'!A11</f>
        <v>2020年3月20日（评估专业人员勘察现场之日）</v>
      </c>
    </row>
    <row r="11" spans="1:55" s="2831" customFormat="1">
      <c r="A11" s="2832" t="s">
        <v>2659</v>
      </c>
      <c r="B11" s="2833" t="str">
        <f>'预评函-1'!A14</f>
        <v>根据《不动产权证书》[京（2020）丰不动产权第0002545号]，本次评估估价对象证载（地类）用途为。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根据委托估价方介绍及评估专业人员现场勘查，本次评估估价对象实际土地开发程度为红线外市政基础设施达“七通”（即通路、通电、通上水、、、、）、宗地红线内场地平整。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不动产权证书》[京（2020）丰不动产权第0002545号]，估价对象（分摊）出让国有建设用地使用权面积为21023.4平方米。根据《国有建设用地使用权出让合同》[电子监管号：1101002019B02868]及附件，估价对象规划建筑面积为63070平方米。</v>
      </c>
    </row>
    <row r="16" spans="1:55" s="2831" customFormat="1">
      <c r="A16" s="2832" t="s">
        <v>2663</v>
      </c>
      <c r="B16" s="2833" t="str">
        <f>'预评函-1'!A22</f>
        <v>本次估价对象为出让国有建设用地使用权，《不动产权证书》[京（2020）丰不动产权第0002545号]证载土地终止日期为住宅2089年10月16日、商业2059年10月16日、办公2069年10月16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3月20日，在规划利用条件下、设定土地开发程度为红线外“七通”、宗地内场地平整，设定用途为，剩余土地使用年限为的出让国有建设用地使用权价格。</v>
      </c>
    </row>
    <row r="19" spans="1:48" s="2831" customFormat="1">
      <c r="A19" s="2832" t="s">
        <v>2666</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2667</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2668</v>
      </c>
      <c r="B21" s="2855" t="str">
        <f>'预评函-1'!A28</f>
        <v/>
      </c>
    </row>
    <row r="22" spans="1:48" ht="15" thickTop="1">
      <c r="A22" s="2843" t="s">
        <v>2669</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估价期日：2020年3月20日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红线外七通、宗地红线内场地平整</v>
      </c>
    </row>
    <row r="39" spans="1:2">
      <c r="A39" s="2832" t="s">
        <v>2713</v>
      </c>
      <c r="B39" s="2833" t="str">
        <f>'预评函-2'!L5</f>
        <v>红线外七通、宗地红线内场地平整</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21023.4</v>
      </c>
    </row>
    <row r="44" spans="1:2">
      <c r="A44" s="2832" t="s">
        <v>2734</v>
      </c>
      <c r="B44" s="2833" t="str">
        <f>'预评函-2'!O3</f>
        <v>规划建筑面积/㎡</v>
      </c>
    </row>
    <row r="45" spans="1:2">
      <c r="A45" s="2832" t="s">
        <v>2716</v>
      </c>
      <c r="B45" s="2833">
        <f>'预评函-2'!O5</f>
        <v>63070</v>
      </c>
    </row>
    <row r="46" spans="1:2">
      <c r="A46" s="2832" t="s">
        <v>2717</v>
      </c>
      <c r="B46" s="2833">
        <f ca="1">'预评函-2'!P5</f>
        <v>140856</v>
      </c>
    </row>
    <row r="47" spans="1:2">
      <c r="A47" s="2832" t="s">
        <v>2718</v>
      </c>
      <c r="B47" s="2833">
        <f ca="1">'预评函-2'!Q5</f>
        <v>46952</v>
      </c>
    </row>
    <row r="48" spans="1:2">
      <c r="A48" s="2832" t="s">
        <v>2719</v>
      </c>
      <c r="B48" s="2833">
        <f ca="1">'预评函-2'!R5</f>
        <v>296127</v>
      </c>
    </row>
    <row r="49" spans="1:2">
      <c r="A49" s="2832" t="s">
        <v>2735</v>
      </c>
      <c r="B49" s="2833" t="str">
        <f>'预评函-2'!A6</f>
        <v>抵押价格</v>
      </c>
    </row>
    <row r="50" spans="1:2">
      <c r="A50" s="2832" t="s">
        <v>2720</v>
      </c>
      <c r="B50" s="2833">
        <f ca="1">'预评函-2'!R6</f>
        <v>296127</v>
      </c>
    </row>
    <row r="51" spans="1:2">
      <c r="A51" s="2832" t="s">
        <v>2736</v>
      </c>
      <c r="B51" s="2833" t="str">
        <f>'预评函-2'!A7</f>
        <v>——</v>
      </c>
    </row>
    <row r="52" spans="1:2">
      <c r="A52" s="2832" t="s">
        <v>2721</v>
      </c>
      <c r="B52" s="2833" t="str">
        <f>'预评函-2'!R7</f>
        <v>——</v>
      </c>
    </row>
    <row r="53" spans="1:2">
      <c r="A53" s="2832" t="s">
        <v>2737</v>
      </c>
      <c r="B53" s="2833" t="str">
        <f>'预评函-2'!A8</f>
        <v>——</v>
      </c>
    </row>
    <row r="54" spans="1:2" s="2847" customFormat="1" ht="15" thickBot="1">
      <c r="A54" s="2854" t="s">
        <v>2722</v>
      </c>
      <c r="B54" s="2855" t="str">
        <f>'预评函-2'!R8</f>
        <v>——</v>
      </c>
    </row>
    <row r="55" spans="1:2" ht="15" thickTop="1">
      <c r="A55" s="2843" t="s">
        <v>2672</v>
      </c>
      <c r="B55" s="2844" t="str">
        <f>'预评函-3'!A2</f>
        <v>1.权利限制：根据估价对象《不动产权证书》复印件、《国有土地使用权》复印件，截至估价期日，估价对象抵押权未见登记。未设定租赁等其他他项权利。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2.基础设施条件：估价对象实际开发程度为红线外七通、宗地红线内场地平整；本次评估设定开发程度为红线外七通、宗地红线内场地平整。</v>
      </c>
    </row>
    <row r="57" spans="1:2">
      <c r="A57" s="2832" t="s">
        <v>2674</v>
      </c>
      <c r="B57" s="2833" t="str">
        <f>'预评函-3'!A4</f>
        <v>3.估价规划限制条件：详见《国有建设用地使用权出让合同》[电子监管号：1101002019B02868]及附件。</v>
      </c>
    </row>
    <row r="58" spans="1:2" s="2847" customFormat="1" ht="15" thickBot="1">
      <c r="A58" s="2854" t="s">
        <v>2723</v>
      </c>
      <c r="B58" s="2855" t="str">
        <f>'预评函-3'!A5</f>
        <v>4.影响价格的其他限定条件：无。</v>
      </c>
    </row>
    <row r="59" spans="1:2" ht="15" thickTop="1">
      <c r="A59" s="2843" t="s">
        <v>2675</v>
      </c>
      <c r="B59" s="2844" t="str">
        <f>'预评函-3'!A8</f>
        <v>2.本《评估意见函》仅供金融机构进行内部审核使用，不做其他目的之用。</v>
      </c>
    </row>
    <row r="60" spans="1:2">
      <c r="A60" s="2832" t="s">
        <v>2676</v>
      </c>
      <c r="B60" s="2833" t="str">
        <f>'预评函-3'!A9</f>
        <v>3.抵押双方在办理抵押登记手续时，应使用本公司出具的正式《土地估价报告》，特提请报告使用者注意。</v>
      </c>
    </row>
    <row r="61" spans="1:2">
      <c r="A61" s="2832" t="s">
        <v>2678</v>
      </c>
      <c r="B61" s="2833" t="str">
        <f>'预评函-3'!A10</f>
        <v>4.估价师所知悉的法定优先受偿款情况为：</v>
      </c>
    </row>
    <row r="62" spans="1:2">
      <c r="A62" s="2832" t="s">
        <v>2677</v>
      </c>
      <c r="B62" s="2833" t="str">
        <f>'预评函-3'!A11</f>
        <v>（1）根据估价对象《不动产权证书》复印件、《国有土地使用权》复印件，截至估价期日，估价对象抵押权未见登记。</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综上，本次评估不存在估价师知悉的法定优先受偿款</v>
      </c>
    </row>
    <row r="66" spans="1:2">
      <c r="A66" s="2832" t="s">
        <v>2682</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2686</v>
      </c>
      <c r="B68" s="2858">
        <f>'预评函-3'!D30</f>
        <v>42558</v>
      </c>
    </row>
    <row r="69" spans="1:2" ht="15" thickTop="1">
      <c r="A69" s="2843" t="s">
        <v>2684</v>
      </c>
      <c r="B69" s="2844" t="str">
        <f>'预评函-3'!A20</f>
        <v>吴薇</v>
      </c>
    </row>
    <row r="70" spans="1:2">
      <c r="A70" s="2832" t="s">
        <v>2684</v>
      </c>
      <c r="B70" s="2839">
        <f ca="1">'预评函-3'!B20</f>
        <v>2002110125</v>
      </c>
    </row>
    <row r="71" spans="1:2">
      <c r="A71" s="2832" t="s">
        <v>2685</v>
      </c>
      <c r="B71" s="2833" t="str">
        <f>'预评函-3'!A21</f>
        <v>郑燚</v>
      </c>
    </row>
    <row r="72" spans="1:2" s="2847" customFormat="1" ht="15" thickBot="1">
      <c r="A72" s="2854" t="s">
        <v>2685</v>
      </c>
      <c r="B72" s="2860">
        <f ca="1">'预评函-3'!B21</f>
        <v>2014110011</v>
      </c>
    </row>
    <row r="73" spans="1:2" ht="15"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2781</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F13" sqref="F13:I13"/>
    </sheetView>
  </sheetViews>
  <sheetFormatPr defaultColWidth="10" defaultRowHeight="14.25"/>
  <cols>
    <col min="1" max="1" width="15.375" style="1674" customWidth="1"/>
    <col min="2" max="2" width="11.375" style="1674" customWidth="1"/>
    <col min="3" max="3" width="12.625" style="1674" customWidth="1"/>
    <col min="4" max="4" width="11.7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1935</v>
      </c>
      <c r="B1" s="3258" t="str">
        <f>IF(B10="北京市","北京市",C10)&amp;F10&amp;B16&amp;"国有建设用地使用权"&amp;B9&amp;"预评估"</f>
        <v>北京市北京市丰台区南苑石榴庄0517-L02地块F1住宅混合公建用地出让国有建设用地使用权抵押价格预评估</v>
      </c>
      <c r="C1" s="3259"/>
      <c r="D1" s="3259"/>
      <c r="E1" s="3259"/>
      <c r="F1" s="3259"/>
      <c r="G1" s="3259"/>
      <c r="H1" s="3259"/>
      <c r="I1" s="3260"/>
      <c r="J1" s="1677"/>
      <c r="K1" s="2418" t="str">
        <f>IF(B10="北京市","北京市",C10)&amp;F10&amp;B16&amp;"国有建设用地使用权"&amp;B9</f>
        <v>北京市北京市丰台区南苑石榴庄0517-L02地块F1住宅混合公建用地出让国有建设用地使用权抵押价格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北京市北京市丰台区南苑石榴庄0517-L02地块F1住宅混合公建用地出让国有建设用地使用权</v>
      </c>
      <c r="L2" s="1706"/>
      <c r="M2" s="1706"/>
      <c r="N2" s="1677"/>
      <c r="O2" s="1678"/>
      <c r="P2" s="1677"/>
      <c r="Q2" s="1677"/>
      <c r="R2" s="1677"/>
      <c r="S2" s="1677"/>
      <c r="T2" s="1677"/>
      <c r="U2" s="1677"/>
    </row>
    <row r="3" spans="1:21">
      <c r="A3" s="1645" t="s">
        <v>1937</v>
      </c>
      <c r="B3" s="1646">
        <v>43910</v>
      </c>
      <c r="C3" s="1647" t="s">
        <v>1992</v>
      </c>
      <c r="D3" s="1646">
        <f>B3</f>
        <v>43910</v>
      </c>
      <c r="E3" s="1677"/>
      <c r="F3" s="1677"/>
      <c r="G3" s="1677"/>
      <c r="H3" s="1644"/>
      <c r="I3" s="1678"/>
      <c r="J3" s="1677"/>
      <c r="K3" s="1757"/>
      <c r="L3" s="1706"/>
      <c r="M3" s="1706"/>
      <c r="N3" s="1677"/>
      <c r="O3" s="1678"/>
      <c r="P3" s="1677"/>
      <c r="Q3" s="1677"/>
      <c r="R3" s="1677"/>
      <c r="S3" s="1677"/>
      <c r="T3" s="1677"/>
      <c r="U3" s="1677"/>
    </row>
    <row r="4" spans="1:21" ht="15" thickBot="1">
      <c r="A4" s="1648" t="s">
        <v>1938</v>
      </c>
      <c r="B4" s="1826" t="s">
        <v>2996</v>
      </c>
      <c r="C4" s="1829">
        <f ca="1">SUMIF(土地估价师,B4,估价师及机构信息!E3:E24)</f>
        <v>2002110125</v>
      </c>
      <c r="D4" s="1826" t="s">
        <v>2997</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9" t="s">
        <v>1939</v>
      </c>
      <c r="B5" s="1772"/>
      <c r="C5" s="1650"/>
      <c r="D5" s="1651"/>
      <c r="E5" s="1677"/>
      <c r="F5" s="1677"/>
      <c r="G5" s="1677"/>
      <c r="H5" s="1644"/>
      <c r="I5" s="1678"/>
      <c r="J5" s="1677"/>
      <c r="K5" s="1757"/>
      <c r="L5" s="1706"/>
      <c r="M5" s="1706"/>
      <c r="N5" s="1677"/>
      <c r="O5" s="1678"/>
      <c r="P5" s="1677"/>
      <c r="Q5" s="1677"/>
      <c r="R5" s="1677"/>
      <c r="S5" s="1677"/>
      <c r="T5" s="1677"/>
      <c r="U5" s="1677"/>
    </row>
    <row r="6" spans="1:21" ht="26.25">
      <c r="A6" s="1647" t="s">
        <v>2700</v>
      </c>
      <c r="B6" s="1772"/>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2701</v>
      </c>
      <c r="B7" s="1772"/>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2974</v>
      </c>
      <c r="C8" s="1655"/>
      <c r="D8" s="3264" t="s">
        <v>1942</v>
      </c>
      <c r="E8" s="1827" t="s">
        <v>2998</v>
      </c>
      <c r="F8" s="1656"/>
      <c r="G8" s="1644"/>
      <c r="H8" s="1644"/>
      <c r="I8" s="1690"/>
      <c r="J8" s="1677"/>
      <c r="K8" s="1757"/>
      <c r="L8" s="1706"/>
      <c r="M8" s="1706"/>
      <c r="N8" s="1677"/>
      <c r="O8" s="1678"/>
      <c r="P8" s="1677"/>
      <c r="Q8" s="1677"/>
      <c r="R8" s="1677"/>
      <c r="S8" s="1677"/>
      <c r="T8" s="1677"/>
      <c r="U8" s="1677"/>
    </row>
    <row r="9" spans="1:21" ht="15" thickBot="1">
      <c r="A9" s="1657" t="s">
        <v>1941</v>
      </c>
      <c r="B9" s="1658" t="s">
        <v>2998</v>
      </c>
      <c r="C9" s="1659"/>
      <c r="D9" s="3265"/>
      <c r="E9" s="1658" t="s">
        <v>952</v>
      </c>
      <c r="F9" s="1730"/>
      <c r="G9" s="1725"/>
      <c r="H9" s="1725"/>
      <c r="I9" s="1726"/>
      <c r="J9" s="1677"/>
      <c r="K9" s="1757"/>
      <c r="L9" s="1706"/>
      <c r="M9" s="1706"/>
      <c r="N9" s="1677"/>
      <c r="O9" s="1678"/>
      <c r="P9" s="1677"/>
      <c r="Q9" s="1677"/>
      <c r="R9" s="1677"/>
      <c r="S9" s="1677"/>
      <c r="T9" s="1677"/>
      <c r="U9" s="1677"/>
    </row>
    <row r="10" spans="1:21" ht="15" thickTop="1">
      <c r="A10" s="1727" t="s">
        <v>1995</v>
      </c>
      <c r="B10" s="1702" t="s">
        <v>1943</v>
      </c>
      <c r="C10" s="1660"/>
      <c r="D10" s="1651"/>
      <c r="E10" s="1661" t="s">
        <v>1944</v>
      </c>
      <c r="F10" s="3181" t="s">
        <v>3244</v>
      </c>
      <c r="G10" s="1728"/>
      <c r="H10" s="1729"/>
      <c r="I10" s="1651"/>
      <c r="J10" s="1677"/>
      <c r="K10" s="1757"/>
      <c r="L10" s="1706"/>
      <c r="M10" s="1706"/>
      <c r="N10" s="1677"/>
      <c r="O10" s="1678"/>
      <c r="P10" s="1677"/>
      <c r="Q10" s="1677"/>
      <c r="R10" s="1677"/>
      <c r="S10" s="1677"/>
      <c r="T10" s="1677"/>
      <c r="U10" s="1677"/>
    </row>
    <row r="11" spans="1:21">
      <c r="A11" s="1680" t="s">
        <v>1996</v>
      </c>
      <c r="B11" s="1681" t="s">
        <v>2999</v>
      </c>
      <c r="C11" s="1662"/>
      <c r="D11" s="1745"/>
      <c r="E11" s="1644"/>
      <c r="F11" s="1644"/>
      <c r="G11" s="1644"/>
      <c r="H11" s="1644"/>
      <c r="I11" s="1644"/>
      <c r="J11" s="1677"/>
      <c r="K11" s="1757"/>
      <c r="L11" s="1706"/>
      <c r="M11" s="1706"/>
      <c r="N11" s="1677"/>
      <c r="O11" s="1678"/>
      <c r="P11" s="1677"/>
      <c r="Q11" s="1677"/>
      <c r="R11" s="1677"/>
      <c r="S11" s="1677"/>
      <c r="T11" s="1677"/>
      <c r="U11" s="1677"/>
    </row>
    <row r="12" spans="1:21">
      <c r="A12" s="1768" t="s">
        <v>2054</v>
      </c>
      <c r="B12" s="3261"/>
      <c r="C12" s="3262"/>
      <c r="D12" s="3263"/>
      <c r="E12" s="1682" t="s">
        <v>2057</v>
      </c>
      <c r="F12" s="3279" t="s">
        <v>3001</v>
      </c>
      <c r="G12" s="3280"/>
      <c r="H12" s="3280"/>
      <c r="I12" s="3281"/>
      <c r="J12" s="1677"/>
      <c r="K12" s="1757"/>
      <c r="L12" s="1706"/>
      <c r="M12" s="1706"/>
      <c r="N12" s="1677"/>
      <c r="O12" s="1678"/>
      <c r="P12" s="1677"/>
      <c r="Q12" s="1677"/>
      <c r="R12" s="1677"/>
      <c r="S12" s="1677"/>
      <c r="T12" s="1677"/>
      <c r="U12" s="1677"/>
    </row>
    <row r="13" spans="1:21">
      <c r="A13" s="1670" t="s">
        <v>2055</v>
      </c>
      <c r="B13" s="3261"/>
      <c r="C13" s="3262"/>
      <c r="D13" s="3263"/>
      <c r="E13" s="1682" t="s">
        <v>2057</v>
      </c>
      <c r="F13" s="3279" t="s">
        <v>3245</v>
      </c>
      <c r="G13" s="3280"/>
      <c r="H13" s="3280"/>
      <c r="I13" s="3281"/>
      <c r="J13" s="1677"/>
      <c r="K13" s="1757"/>
      <c r="L13" s="1706"/>
      <c r="M13" s="1706"/>
      <c r="N13" s="1677"/>
      <c r="O13" s="1678"/>
      <c r="P13" s="1677"/>
      <c r="Q13" s="1677"/>
      <c r="R13" s="1677"/>
      <c r="S13" s="1677"/>
      <c r="T13" s="1677"/>
      <c r="U13" s="1677"/>
    </row>
    <row r="14" spans="1:21">
      <c r="A14" s="1645" t="s">
        <v>2058</v>
      </c>
      <c r="B14" s="1682"/>
      <c r="C14" s="1828" t="s">
        <v>3002</v>
      </c>
      <c r="D14" s="1716" t="str">
        <f>IF(C14="不一致","是否符合证载地类范围","")</f>
        <v/>
      </c>
      <c r="E14" s="1682"/>
      <c r="F14" s="1773" t="s">
        <v>3003</v>
      </c>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42.75">
      <c r="A16" s="1663" t="s">
        <v>1945</v>
      </c>
      <c r="B16" s="1664" t="s">
        <v>2969</v>
      </c>
      <c r="C16" s="1682" t="s">
        <v>1946</v>
      </c>
      <c r="D16" s="2609" t="s">
        <v>1947</v>
      </c>
      <c r="E16" s="1705" t="s">
        <v>3004</v>
      </c>
      <c r="F16" s="1705" t="s">
        <v>1677</v>
      </c>
      <c r="G16" s="1705"/>
      <c r="H16" s="1705"/>
      <c r="I16" s="1669" t="s">
        <v>1952</v>
      </c>
      <c r="J16" s="1677"/>
      <c r="K16" s="2419" t="str">
        <f>IF(D17="","",D16&amp;TEXT(D17,"yyyy年m月d日;;"))</f>
        <v>住宅2089年10月16日</v>
      </c>
      <c r="L16" s="1682" t="str">
        <f>IF(OR(K16="",M16=""),"","、")</f>
        <v>、</v>
      </c>
      <c r="M16" s="2419" t="str">
        <f>IF(E17="","",E16&amp;TEXT(E17,"yyyy年m月d日;;"))</f>
        <v>商业2059年10月16日</v>
      </c>
      <c r="N16" s="1682" t="str">
        <f>IF(OR(M16="",O16=""),"","、")</f>
        <v>、</v>
      </c>
      <c r="O16" s="2419" t="str">
        <f>IF(F17="","",F16&amp;TEXT(F17,"yyyy年m月d日;;"))</f>
        <v>办公2069年10月16日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v>69322</v>
      </c>
      <c r="E17" s="1683">
        <v>58364</v>
      </c>
      <c r="F17" s="1683">
        <v>62017</v>
      </c>
      <c r="G17" s="1683"/>
      <c r="H17" s="1683"/>
      <c r="I17" s="1683"/>
      <c r="J17" s="1677"/>
      <c r="K17" s="2418" t="str">
        <f>CONCATENATE(K16,L16,M16,N16,O16,P16,Q16,R16,S16,T16,,U16)</f>
        <v>住宅2089年10月16日、商业2059年10月16日、办公2069年10月16日</v>
      </c>
      <c r="L17" s="1706"/>
      <c r="M17" s="1706"/>
      <c r="N17" s="1677"/>
      <c r="O17" s="1678"/>
      <c r="P17" s="1677"/>
      <c r="Q17" s="1677"/>
      <c r="R17" s="1677"/>
      <c r="S17" s="1677"/>
      <c r="T17" s="1677"/>
      <c r="U17" s="1677"/>
    </row>
    <row r="18" spans="1:21">
      <c r="A18" s="1746"/>
      <c r="B18" s="1665"/>
      <c r="C18" s="1666" t="s">
        <v>1954</v>
      </c>
      <c r="D18" s="1667">
        <v>70</v>
      </c>
      <c r="E18" s="1667">
        <v>40</v>
      </c>
      <c r="F18" s="1667">
        <v>50</v>
      </c>
      <c r="G18" s="1667"/>
      <c r="H18" s="1667"/>
      <c r="I18" s="1667"/>
      <c r="J18" s="1677"/>
      <c r="K18" s="1757"/>
      <c r="L18" s="1706"/>
      <c r="M18" s="1706"/>
      <c r="N18" s="1677"/>
      <c r="O18" s="1678"/>
      <c r="P18" s="1677"/>
      <c r="Q18" s="1677"/>
      <c r="R18" s="1677"/>
      <c r="S18" s="1677"/>
      <c r="T18" s="1677"/>
      <c r="U18" s="1677"/>
    </row>
    <row r="19" spans="1:21">
      <c r="A19" s="1746"/>
      <c r="B19" s="1665"/>
      <c r="C19" s="1644" t="s">
        <v>1955</v>
      </c>
      <c r="D19" s="1741">
        <f>IF(B16="出让",IF(D17="","",ROUNDDOWN(MIN((D17-$D$3)/365,D18),2)),D18)</f>
        <v>69.62</v>
      </c>
      <c r="E19" s="1668">
        <f>IF(B16="出让",IF(E17="","",ROUNDDOWN(MIN((E17-$D$3)/365,E18),2)),E18)</f>
        <v>39.6</v>
      </c>
      <c r="F19" s="1668">
        <f>IF(B16="出让",IF(F17="","",ROUNDDOWN(MIN((F17-$D$3)/365,F18),2)),F18)</f>
        <v>49.6</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76"/>
      <c r="E20" s="3277"/>
      <c r="F20" s="3277"/>
      <c r="G20" s="3277"/>
      <c r="H20" s="3277"/>
      <c r="I20" s="3278"/>
      <c r="J20" s="1677"/>
      <c r="K20" s="1757"/>
      <c r="L20" s="1706"/>
      <c r="M20" s="1706"/>
      <c r="N20" s="1677"/>
      <c r="O20" s="1678"/>
      <c r="P20" s="1677"/>
      <c r="Q20" s="1677"/>
      <c r="R20" s="1677"/>
      <c r="S20" s="1677"/>
      <c r="T20" s="1677"/>
      <c r="U20" s="1677"/>
    </row>
    <row r="21" spans="1:21">
      <c r="A21" s="1746" t="s">
        <v>1956</v>
      </c>
      <c r="B21" s="1747" t="s">
        <v>1957</v>
      </c>
      <c r="C21" s="1742">
        <f>'数据-汇总表'!E3</f>
        <v>63070</v>
      </c>
      <c r="D21" s="1743" t="s">
        <v>1958</v>
      </c>
      <c r="E21" s="3266" t="s">
        <v>3006</v>
      </c>
      <c r="F21" s="3267"/>
      <c r="G21" s="3267"/>
      <c r="H21" s="3267"/>
      <c r="I21" s="3268"/>
      <c r="J21" s="1677"/>
      <c r="K21" s="1757"/>
      <c r="L21" s="1706"/>
      <c r="M21" s="1706"/>
      <c r="N21" s="1677"/>
      <c r="O21" s="1678"/>
      <c r="P21" s="1677"/>
      <c r="Q21" s="1677"/>
      <c r="R21" s="1677"/>
      <c r="S21" s="1677"/>
      <c r="T21" s="1677"/>
      <c r="U21" s="1677"/>
    </row>
    <row r="22" spans="1:21">
      <c r="A22" s="3093" t="s">
        <v>952</v>
      </c>
      <c r="B22" s="1645" t="s">
        <v>1959</v>
      </c>
      <c r="C22" s="1669">
        <f>'数据-汇总表'!D3</f>
        <v>21023.4</v>
      </c>
      <c r="D22" s="1670" t="s">
        <v>1958</v>
      </c>
      <c r="E22" s="3266" t="s">
        <v>3005</v>
      </c>
      <c r="F22" s="3267"/>
      <c r="G22" s="3267"/>
      <c r="H22" s="3267"/>
      <c r="I22" s="3268"/>
      <c r="J22" s="1677"/>
      <c r="K22" s="1757"/>
      <c r="L22" s="1706"/>
      <c r="M22" s="1706"/>
      <c r="N22" s="1677"/>
      <c r="O22" s="1678"/>
      <c r="P22" s="1677"/>
      <c r="Q22" s="1677"/>
      <c r="R22" s="1677"/>
      <c r="S22" s="1677"/>
      <c r="T22" s="1677"/>
      <c r="U22" s="1677"/>
    </row>
    <row r="23" spans="1:21" ht="43.5" thickBot="1">
      <c r="A23" s="1748" t="s">
        <v>1960</v>
      </c>
      <c r="B23" s="1684" t="s">
        <v>1961</v>
      </c>
      <c r="C23" s="1685" t="s">
        <v>3007</v>
      </c>
      <c r="D23" s="1686" t="s">
        <v>1962</v>
      </c>
      <c r="E23" s="1687" t="s">
        <v>3007</v>
      </c>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69" t="s">
        <v>1964</v>
      </c>
      <c r="C24" s="3270"/>
      <c r="D24" s="3271" t="s">
        <v>1965</v>
      </c>
      <c r="E24" s="3272"/>
      <c r="F24" s="1691" t="s">
        <v>1966</v>
      </c>
      <c r="G24" s="1677"/>
      <c r="H24" s="1677"/>
      <c r="I24" s="1690"/>
      <c r="J24" s="1677"/>
      <c r="K24" s="3257" t="s">
        <v>1967</v>
      </c>
      <c r="L24" s="242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6"/>
      <c r="N24" s="1677"/>
      <c r="O24" s="1678"/>
      <c r="P24" s="1677"/>
      <c r="Q24" s="1677"/>
      <c r="R24" s="1677"/>
      <c r="S24" s="1677"/>
      <c r="T24" s="1677"/>
      <c r="U24" s="1677"/>
    </row>
    <row r="25" spans="1:21" ht="28.5">
      <c r="A25" s="1734"/>
      <c r="B25" s="1731" t="s">
        <v>2321</v>
      </c>
      <c r="C25" s="1692" t="s">
        <v>2322</v>
      </c>
      <c r="D25" s="1693"/>
      <c r="E25" s="1694" t="s">
        <v>952</v>
      </c>
      <c r="F25" s="1695"/>
      <c r="G25" s="1677"/>
      <c r="H25" s="1677"/>
      <c r="I25" s="1690"/>
      <c r="J25" s="1677"/>
      <c r="K25" s="3257"/>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29.25" thickBot="1">
      <c r="A26" s="1735"/>
      <c r="B26" s="1732" t="s">
        <v>1968</v>
      </c>
      <c r="C26" s="1692" t="s">
        <v>2322</v>
      </c>
      <c r="D26" s="1644"/>
      <c r="E26" s="1644"/>
      <c r="F26" s="1671"/>
      <c r="G26" s="1677"/>
      <c r="H26" s="1677"/>
      <c r="I26" s="1690"/>
      <c r="J26" s="1677"/>
      <c r="K26" s="3257"/>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5" thickTop="1">
      <c r="A31" s="3284" t="s">
        <v>1997</v>
      </c>
      <c r="B31" s="1747" t="s">
        <v>1998</v>
      </c>
      <c r="C31" s="3282" t="s">
        <v>3008</v>
      </c>
      <c r="D31" s="3283"/>
      <c r="E31" s="1677"/>
      <c r="F31" s="1677"/>
      <c r="G31" s="1677"/>
      <c r="H31" s="1677"/>
      <c r="I31" s="1690"/>
      <c r="J31" s="1677"/>
      <c r="K31" s="2421"/>
      <c r="L31" s="1677"/>
      <c r="M31" s="1677"/>
      <c r="N31" s="1677"/>
      <c r="O31" s="1677"/>
      <c r="P31" s="1677"/>
      <c r="Q31" s="1677"/>
      <c r="R31" s="1677"/>
      <c r="S31" s="1677"/>
      <c r="T31" s="1677"/>
      <c r="U31" s="1677"/>
    </row>
    <row r="32" spans="1:21">
      <c r="A32" s="3284"/>
      <c r="B32" s="1645" t="s">
        <v>1999</v>
      </c>
      <c r="C32" s="1702" t="s">
        <v>3009</v>
      </c>
      <c r="D32" s="1703"/>
      <c r="E32" s="1677"/>
      <c r="F32" s="1677"/>
      <c r="G32" s="1677"/>
      <c r="H32" s="1677"/>
      <c r="I32" s="1690"/>
      <c r="J32" s="1677"/>
      <c r="K32" s="2421"/>
      <c r="L32" s="1677"/>
      <c r="M32" s="1677"/>
      <c r="N32" s="1677"/>
      <c r="O32" s="1677"/>
      <c r="P32" s="1677"/>
      <c r="Q32" s="1677"/>
      <c r="R32" s="1677"/>
      <c r="S32" s="1677"/>
      <c r="T32" s="1677"/>
      <c r="U32" s="1677"/>
    </row>
    <row r="33" spans="1:21">
      <c r="A33" s="3284"/>
      <c r="B33" s="1645" t="s">
        <v>2000</v>
      </c>
      <c r="C33" s="1704" t="s">
        <v>3007</v>
      </c>
      <c r="D33" s="1821"/>
      <c r="E33" s="1677"/>
      <c r="F33" s="1677"/>
      <c r="G33" s="1677"/>
      <c r="H33" s="1677"/>
      <c r="I33" s="1690"/>
      <c r="J33" s="1677"/>
      <c r="K33" s="2421"/>
      <c r="L33" s="1677"/>
      <c r="M33" s="1677"/>
      <c r="N33" s="1677"/>
      <c r="O33" s="1677"/>
      <c r="P33" s="1677"/>
      <c r="Q33" s="1677"/>
      <c r="R33" s="1677"/>
      <c r="S33" s="1677"/>
      <c r="T33" s="1677"/>
      <c r="U33" s="1677"/>
    </row>
    <row r="34" spans="1:21">
      <c r="A34" s="3285"/>
      <c r="B34" s="1645" t="s">
        <v>2001</v>
      </c>
      <c r="C34" s="3286"/>
      <c r="D34" s="3287"/>
      <c r="E34" s="1677"/>
      <c r="F34" s="1677"/>
      <c r="G34" s="1677"/>
      <c r="H34" s="1677"/>
      <c r="I34" s="1690"/>
      <c r="J34" s="1677"/>
      <c r="K34" s="2421"/>
      <c r="L34" s="1677"/>
      <c r="M34" s="1677"/>
      <c r="N34" s="1677"/>
      <c r="O34" s="1677"/>
      <c r="P34" s="1677"/>
      <c r="Q34" s="1677"/>
      <c r="R34" s="1677"/>
      <c r="S34" s="1677"/>
      <c r="T34" s="1677"/>
      <c r="U34" s="1677"/>
    </row>
    <row r="35" spans="1:21">
      <c r="A35" s="3288" t="s">
        <v>847</v>
      </c>
      <c r="B35" s="1705" t="s">
        <v>3010</v>
      </c>
      <c r="C35" s="1759" t="str">
        <f>IF(B35="场地平整","——","具体情况：")</f>
        <v>——</v>
      </c>
      <c r="D35" s="3290"/>
      <c r="E35" s="3291"/>
      <c r="F35" s="3291"/>
      <c r="G35" s="3291"/>
      <c r="H35" s="3291"/>
      <c r="I35" s="3292"/>
      <c r="J35" s="1677"/>
      <c r="K35" s="1758"/>
      <c r="L35" s="1706"/>
      <c r="M35" s="1706"/>
      <c r="N35" s="1677"/>
      <c r="O35" s="1678"/>
      <c r="P35" s="1677"/>
      <c r="Q35" s="1677"/>
      <c r="R35" s="1677"/>
      <c r="S35" s="1677"/>
      <c r="T35" s="1677"/>
      <c r="U35" s="1677"/>
    </row>
    <row r="36" spans="1:21">
      <c r="A36" s="3284"/>
      <c r="B36" s="3293" t="s">
        <v>2050</v>
      </c>
      <c r="C36" s="3294"/>
      <c r="D36" s="1775" t="s">
        <v>3011</v>
      </c>
      <c r="E36" s="3295"/>
      <c r="F36" s="3295"/>
      <c r="G36" s="1670" t="str">
        <f>IF(B35="场地未平整","估价结果处理","")</f>
        <v/>
      </c>
      <c r="H36" s="3296"/>
      <c r="I36" s="3296"/>
      <c r="J36" s="1677"/>
      <c r="K36" s="1758"/>
      <c r="L36" s="1706"/>
      <c r="M36" s="1706"/>
      <c r="N36" s="1677"/>
      <c r="O36" s="1678"/>
      <c r="P36" s="1677"/>
      <c r="Q36" s="1677"/>
      <c r="R36" s="1677"/>
      <c r="S36" s="1677"/>
      <c r="T36" s="1677"/>
      <c r="U36" s="1677"/>
    </row>
    <row r="37" spans="1:21" ht="28.5">
      <c r="A37" s="3284"/>
      <c r="B37" s="3273" t="s">
        <v>848</v>
      </c>
      <c r="C37" s="1707" t="s">
        <v>849</v>
      </c>
      <c r="D37" s="1708">
        <v>44120</v>
      </c>
      <c r="E37" s="1709"/>
      <c r="F37" s="1677"/>
      <c r="G37" s="1677"/>
      <c r="H37" s="1677"/>
      <c r="I37" s="1690"/>
      <c r="J37" s="1677"/>
      <c r="K37" s="1758"/>
      <c r="L37" s="1677"/>
      <c r="M37" s="1677"/>
      <c r="N37" s="1677"/>
      <c r="O37" s="1677"/>
      <c r="P37" s="1677"/>
      <c r="Q37" s="1677"/>
      <c r="R37" s="1677"/>
      <c r="S37" s="1677"/>
      <c r="T37" s="1677"/>
      <c r="U37" s="1677"/>
    </row>
    <row r="38" spans="1:21">
      <c r="A38" s="3284"/>
      <c r="B38" s="3274"/>
      <c r="C38" s="1653" t="s">
        <v>850</v>
      </c>
      <c r="D38" s="1774">
        <f>ROUNDDOWN(MIN(('数据-取费表'!$B$2-D37)/365,D34),1)</f>
        <v>-0.5</v>
      </c>
      <c r="E38" s="1710" t="s">
        <v>851</v>
      </c>
      <c r="F38" s="1677"/>
      <c r="G38" s="1677"/>
      <c r="H38" s="1677"/>
      <c r="I38" s="1690"/>
      <c r="J38" s="1677"/>
      <c r="K38" s="1758"/>
      <c r="L38" s="1677"/>
      <c r="M38" s="1677"/>
      <c r="N38" s="1677"/>
      <c r="O38" s="1677"/>
      <c r="P38" s="1677"/>
      <c r="Q38" s="1677"/>
      <c r="R38" s="1677"/>
      <c r="S38" s="1677"/>
      <c r="T38" s="1677"/>
      <c r="U38" s="1677"/>
    </row>
    <row r="39" spans="1:21">
      <c r="A39" s="3285"/>
      <c r="B39" s="3275"/>
      <c r="C39" s="1680" t="str">
        <f>IF(D38&lt;1,"不存在土地闲置",IF(B35="宗地内已开工建设","已开工，不存在土地闲置","估价对象已涉嫌土地闲置"))</f>
        <v>不存在土地闲置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t="s">
        <v>3012</v>
      </c>
      <c r="C40" s="1673" t="s">
        <v>3013</v>
      </c>
      <c r="D40" s="1673" t="s">
        <v>3014</v>
      </c>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56" t="s">
        <v>1982</v>
      </c>
      <c r="T40" s="1714" t="str">
        <f>NUMBERSTRING(7-K40,1)&amp;"通"</f>
        <v>七通</v>
      </c>
      <c r="U40" s="1677"/>
    </row>
    <row r="41" spans="1:21">
      <c r="A41" s="1647"/>
      <c r="B41" s="3289" t="s">
        <v>1721</v>
      </c>
      <c r="C41" s="3289"/>
      <c r="D41" s="3289"/>
      <c r="E41" s="3289"/>
      <c r="F41" s="1715">
        <f>C10</f>
        <v>0</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256"/>
      <c r="T41" s="1716" t="str">
        <f>IF(T40="一通",L41,IF(T40="二通",M41,IF(T40="三通",N41,IF(T40="四通",O41,IF(T40="五通",P41,IF(T40="六通",Q41,R41))))))</f>
        <v>通路、通电、通上水、、、、</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t="s">
        <v>1409</v>
      </c>
      <c r="C43" s="1721" t="s">
        <v>1409</v>
      </c>
      <c r="D43" s="1721" t="s">
        <v>1409</v>
      </c>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t="s">
        <v>1251</v>
      </c>
      <c r="C44" s="1721" t="s">
        <v>1251</v>
      </c>
      <c r="D44" s="1721" t="s">
        <v>1231</v>
      </c>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2329</v>
      </c>
      <c r="BA2" s="2324"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面积表!B12</f>
        <v>21023.4</v>
      </c>
      <c r="B3" s="22">
        <f>IF(C3="否",G5-AT5,G5)</f>
        <v>63070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63070</v>
      </c>
      <c r="H5" s="27">
        <f t="shared" ref="H5:AT5" si="0">SUM(H13:H641)</f>
        <v>48430</v>
      </c>
      <c r="I5" s="27">
        <f t="shared" si="0"/>
        <v>44149</v>
      </c>
      <c r="J5" s="27">
        <f t="shared" si="0"/>
        <v>0</v>
      </c>
      <c r="K5" s="27">
        <f t="shared" si="0"/>
        <v>4281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14640</v>
      </c>
      <c r="AD5" s="27">
        <f t="shared" si="0"/>
        <v>14640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63070</v>
      </c>
      <c r="BA5" s="29">
        <f t="shared" si="1"/>
        <v>48430</v>
      </c>
      <c r="BB5" s="29">
        <f t="shared" si="1"/>
        <v>44149</v>
      </c>
      <c r="BC5" s="29">
        <f t="shared" si="1"/>
        <v>4281</v>
      </c>
      <c r="BD5" s="29">
        <f t="shared" si="1"/>
        <v>0</v>
      </c>
      <c r="BE5" s="29">
        <f t="shared" si="1"/>
        <v>0</v>
      </c>
      <c r="BF5" s="29">
        <f t="shared" si="1"/>
        <v>0</v>
      </c>
      <c r="BG5" s="29">
        <f t="shared" si="1"/>
        <v>0</v>
      </c>
      <c r="BH5" s="29">
        <f t="shared" si="1"/>
        <v>0</v>
      </c>
      <c r="BI5" s="29">
        <f t="shared" si="1"/>
        <v>0</v>
      </c>
      <c r="BJ5" s="29">
        <f t="shared" si="1"/>
        <v>0</v>
      </c>
      <c r="BK5" s="29">
        <f t="shared" si="1"/>
        <v>0</v>
      </c>
      <c r="BL5" s="29">
        <f t="shared" si="1"/>
        <v>14640</v>
      </c>
      <c r="BM5" s="29">
        <f t="shared" si="1"/>
        <v>14640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21023.4</v>
      </c>
      <c r="F6" s="27" t="s">
        <v>1</v>
      </c>
      <c r="G6" s="27" t="s">
        <v>2</v>
      </c>
      <c r="H6" s="33">
        <f>SUMIF(I$12:AB$12,"总值",I6:AB6)</f>
        <v>16143.38</v>
      </c>
      <c r="I6" s="27">
        <f t="shared" ref="I6:AB6" si="2">ROUND($A$3*I5/$B$3,2)</f>
        <v>14716.38</v>
      </c>
      <c r="J6" s="27">
        <f t="shared" si="2"/>
        <v>0</v>
      </c>
      <c r="K6" s="27">
        <f t="shared" si="2"/>
        <v>1427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4880.0200000000004</v>
      </c>
      <c r="AD6" s="27">
        <f t="shared" ref="AD6:AS6" si="3">ROUND($A$3*AD5/$B$3,2)</f>
        <v>4880.0200000000004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21023.4</v>
      </c>
      <c r="AZ6" s="27" t="s">
        <v>3</v>
      </c>
      <c r="BA6" s="27">
        <f>ROUND($AY$6*BA5/$AZ$5,2)</f>
        <v>16143.38</v>
      </c>
      <c r="BB6" s="27">
        <f>ROUND($AY$6*BB5/$AZ$5,2)</f>
        <v>14716.38</v>
      </c>
      <c r="BC6" s="27">
        <f t="shared" ref="BC6:BH6" si="4">ROUND($AY$6*BC5/$AZ$5,2)</f>
        <v>1427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4880.0200000000004</v>
      </c>
      <c r="BM6" s="27">
        <f t="shared" si="5"/>
        <v>4880.0200000000004</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3015</v>
      </c>
      <c r="J9" s="51"/>
      <c r="K9" s="2970" t="s">
        <v>3015</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923</v>
      </c>
      <c r="L10" s="51"/>
      <c r="M10" s="2972"/>
      <c r="N10" s="51"/>
      <c r="O10" s="66"/>
      <c r="P10" s="51"/>
      <c r="Q10" s="66"/>
      <c r="R10" s="51"/>
      <c r="S10" s="66"/>
      <c r="T10" s="51"/>
      <c r="U10" s="66"/>
      <c r="V10" s="51"/>
      <c r="W10" s="66"/>
      <c r="X10" s="51"/>
      <c r="Y10" s="66"/>
      <c r="Z10" s="51"/>
      <c r="AA10" s="66"/>
      <c r="AB10" s="51"/>
      <c r="AC10" s="55"/>
      <c r="AD10" s="2298" t="s">
        <v>2313</v>
      </c>
      <c r="AE10" s="2320"/>
      <c r="AF10" s="2298" t="s">
        <v>2313</v>
      </c>
      <c r="AG10" s="2320"/>
      <c r="AH10" s="2298" t="s">
        <v>2314</v>
      </c>
      <c r="AI10" s="2320"/>
      <c r="AJ10" s="26" t="s">
        <v>2327</v>
      </c>
      <c r="AK10" s="2317"/>
      <c r="AL10" s="2298" t="s">
        <v>2315</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3016</v>
      </c>
      <c r="J11" s="71"/>
      <c r="K11" s="2971" t="s">
        <v>3017</v>
      </c>
      <c r="L11" s="71"/>
      <c r="M11" s="70"/>
      <c r="N11" s="71"/>
      <c r="O11" s="70"/>
      <c r="P11" s="71"/>
      <c r="Q11" s="70"/>
      <c r="R11" s="71"/>
      <c r="S11" s="70"/>
      <c r="T11" s="71"/>
      <c r="U11" s="70"/>
      <c r="V11" s="71"/>
      <c r="W11" s="70"/>
      <c r="X11" s="71"/>
      <c r="Y11" s="70"/>
      <c r="Z11" s="71"/>
      <c r="AA11" s="70"/>
      <c r="AB11" s="71"/>
      <c r="AC11" s="55"/>
      <c r="AD11" s="2318" t="s">
        <v>2326</v>
      </c>
      <c r="AE11" s="1002"/>
      <c r="AF11" s="2318" t="s">
        <v>2326</v>
      </c>
      <c r="AG11" s="1002"/>
      <c r="AH11" s="2318" t="s">
        <v>2325</v>
      </c>
      <c r="AI11" s="2319"/>
      <c r="AJ11" s="2318" t="s">
        <v>2325</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21023.4</v>
      </c>
      <c r="F13" s="81"/>
      <c r="G13" s="82">
        <f t="shared" ref="G13:G20" si="7">H13+AC13+AT13</f>
        <v>63070</v>
      </c>
      <c r="H13" s="33">
        <f t="shared" ref="H13:H20" si="8">SUMIF(I$12:AB$12,"总值",I13:AB13)</f>
        <v>48430</v>
      </c>
      <c r="I13" s="2969">
        <f>面积表!D2</f>
        <v>44149</v>
      </c>
      <c r="J13" s="2969"/>
      <c r="K13" s="2969">
        <f>面积表!D3</f>
        <v>4281</v>
      </c>
      <c r="L13" s="2969"/>
      <c r="M13" s="2969"/>
      <c r="N13" s="83"/>
      <c r="O13" s="83"/>
      <c r="P13" s="83"/>
      <c r="Q13" s="83"/>
      <c r="R13" s="83"/>
      <c r="S13" s="83"/>
      <c r="T13" s="83"/>
      <c r="U13" s="83"/>
      <c r="V13" s="83"/>
      <c r="W13" s="83"/>
      <c r="X13" s="83"/>
      <c r="Y13" s="83"/>
      <c r="Z13" s="83"/>
      <c r="AA13" s="83"/>
      <c r="AB13" s="83"/>
      <c r="AC13" s="27">
        <f t="shared" ref="AC13:AC20" si="9">SUMIF(AD$12:AS$12,"总值",AD13:AS13)</f>
        <v>14640</v>
      </c>
      <c r="AD13" s="2973">
        <f>面积表!B2+面积表!B3+面积表!B4+面积表!B5</f>
        <v>14640</v>
      </c>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21023.4</v>
      </c>
      <c r="AZ13" s="27">
        <f t="shared" ref="AZ13:AZ20" si="12">BA13+BL13</f>
        <v>63070</v>
      </c>
      <c r="BA13" s="27">
        <f t="shared" ref="BA13:BA20" si="13">SUM(BB13:BK13)</f>
        <v>48430</v>
      </c>
      <c r="BB13" s="27">
        <f t="shared" ref="BB13:BB20" si="14">IF($D13="是",I13-J13,0)</f>
        <v>44149</v>
      </c>
      <c r="BC13" s="27">
        <f t="shared" ref="BC13:BC20" si="15">IF($D13="是",K13-L13,0)</f>
        <v>4281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14640</v>
      </c>
      <c r="BM13" s="27">
        <f t="shared" ref="BM13:BM20" si="25">IF($D13="是",AD13-AE13,0)</f>
        <v>14640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7" t="s">
        <v>0</v>
      </c>
      <c r="B1" s="3297" t="s">
        <v>4</v>
      </c>
      <c r="C1" s="3297" t="s">
        <v>5</v>
      </c>
      <c r="D1" s="3298" t="s">
        <v>40</v>
      </c>
      <c r="E1" s="3298" t="s">
        <v>41</v>
      </c>
      <c r="F1" s="3298"/>
      <c r="G1" s="3298"/>
      <c r="H1" s="3298"/>
      <c r="I1" s="3298"/>
      <c r="J1" s="3298"/>
      <c r="K1" s="3298"/>
      <c r="L1" s="3298"/>
      <c r="M1" s="3298"/>
    </row>
    <row r="2" spans="1:13" ht="27" customHeight="1">
      <c r="A2" s="3297"/>
      <c r="B2" s="3297"/>
      <c r="C2" s="3297"/>
      <c r="D2" s="3298"/>
      <c r="E2" s="3298" t="s">
        <v>24</v>
      </c>
      <c r="F2" s="3298" t="s">
        <v>25</v>
      </c>
      <c r="G2" s="3298"/>
      <c r="H2" s="3298"/>
      <c r="I2" s="3298"/>
      <c r="J2" s="3298" t="s">
        <v>26</v>
      </c>
      <c r="K2" s="3298"/>
      <c r="L2" s="3298"/>
      <c r="M2" s="3298"/>
    </row>
    <row r="3" spans="1:13" ht="28.5">
      <c r="A3" s="3297"/>
      <c r="B3" s="3297"/>
      <c r="C3" s="3297"/>
      <c r="D3" s="3298"/>
      <c r="E3" s="329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8" t="s">
        <v>42</v>
      </c>
      <c r="B9" s="3298"/>
      <c r="C9" s="32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A2" sqref="A2"/>
    </sheetView>
  </sheetViews>
  <sheetFormatPr defaultRowHeight="13.5"/>
  <cols>
    <col min="2" max="2" width="15.625" bestFit="1" customWidth="1"/>
  </cols>
  <sheetData>
    <row r="1" spans="1:6">
      <c r="B1" s="3179" t="s">
        <v>2982</v>
      </c>
      <c r="C1" s="3179"/>
      <c r="D1" s="3179" t="s">
        <v>2986</v>
      </c>
    </row>
    <row r="2" spans="1:6">
      <c r="A2" s="3179" t="s">
        <v>2981</v>
      </c>
      <c r="B2">
        <v>10440</v>
      </c>
      <c r="C2" s="3179" t="s">
        <v>2988</v>
      </c>
      <c r="D2">
        <v>44149</v>
      </c>
    </row>
    <row r="3" spans="1:6">
      <c r="A3" s="3179" t="s">
        <v>2983</v>
      </c>
      <c r="B3">
        <v>200</v>
      </c>
      <c r="C3" s="3179" t="s">
        <v>2989</v>
      </c>
      <c r="D3">
        <v>4281</v>
      </c>
    </row>
    <row r="4" spans="1:6">
      <c r="A4" s="3179" t="s">
        <v>2984</v>
      </c>
      <c r="B4">
        <v>3000</v>
      </c>
      <c r="C4" s="3179" t="s">
        <v>2987</v>
      </c>
      <c r="D4">
        <f>SUM(D2:D3)</f>
        <v>48430</v>
      </c>
    </row>
    <row r="5" spans="1:6">
      <c r="A5" s="3179" t="s">
        <v>2985</v>
      </c>
      <c r="B5">
        <v>1000</v>
      </c>
    </row>
    <row r="6" spans="1:6">
      <c r="A6" s="3179" t="s">
        <v>2987</v>
      </c>
      <c r="B6">
        <f>SUM(B2:B5)</f>
        <v>14640</v>
      </c>
      <c r="D6">
        <f>D4+B6</f>
        <v>63070</v>
      </c>
    </row>
    <row r="8" spans="1:6">
      <c r="A8" s="3179" t="s">
        <v>2990</v>
      </c>
    </row>
    <row r="9" spans="1:6">
      <c r="A9" s="3179" t="s">
        <v>2991</v>
      </c>
    </row>
    <row r="10" spans="1:6">
      <c r="A10" s="3179" t="s">
        <v>2992</v>
      </c>
    </row>
    <row r="11" spans="1:6">
      <c r="A11" s="3179" t="s">
        <v>2993</v>
      </c>
    </row>
    <row r="12" spans="1:6">
      <c r="A12" s="3179" t="s">
        <v>2994</v>
      </c>
      <c r="B12">
        <v>21023.4</v>
      </c>
    </row>
    <row r="13" spans="1:6">
      <c r="A13" s="3179" t="s">
        <v>2995</v>
      </c>
      <c r="B13" s="3180">
        <v>69322</v>
      </c>
      <c r="E13">
        <f>B14*1.3</f>
        <v>366600</v>
      </c>
      <c r="F13">
        <f>ROUND(E13/'数据-汇总表'!F27*10000,0)</f>
        <v>75697</v>
      </c>
    </row>
    <row r="14" spans="1:6">
      <c r="B14">
        <v>282000</v>
      </c>
      <c r="C14">
        <f>B14*1.0305</f>
        <v>290601</v>
      </c>
      <c r="E14">
        <f>B14*1.2</f>
        <v>338400</v>
      </c>
      <c r="F14">
        <f>ROUND(E14/'数据-汇总表'!F27*10000,0)</f>
        <v>69874</v>
      </c>
    </row>
    <row r="15" spans="1:6">
      <c r="E15">
        <f>B14</f>
        <v>282000</v>
      </c>
      <c r="F15">
        <f>ROUND(E15/'数据-汇总表'!F27*10000,0)</f>
        <v>58228</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6" zoomScale="90" zoomScaleNormal="90" zoomScaleSheetLayoutView="90" workbookViewId="0">
      <selection activeCell="F20" sqref="F2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08" t="s">
        <v>203</v>
      </c>
      <c r="B2" s="3308"/>
      <c r="C2" s="3308"/>
      <c r="D2" s="1959" t="s">
        <v>204</v>
      </c>
      <c r="E2" s="106" t="s">
        <v>205</v>
      </c>
      <c r="F2" s="1968"/>
      <c r="G2" s="1194"/>
      <c r="H2" s="1195"/>
      <c r="I2" s="1196" t="s">
        <v>857</v>
      </c>
      <c r="J2" s="1968"/>
      <c r="K2" s="1968"/>
      <c r="L2" s="1968"/>
    </row>
    <row r="3" spans="1:16" ht="15.75" thickBot="1">
      <c r="A3" s="3309" t="s">
        <v>206</v>
      </c>
      <c r="B3" s="3309"/>
      <c r="C3" s="3309"/>
      <c r="D3" s="107">
        <f>'数据-基础表'!AY6</f>
        <v>21023.4</v>
      </c>
      <c r="E3" s="107">
        <f>'数据-基础表'!AZ5</f>
        <v>63070</v>
      </c>
      <c r="F3" s="1968"/>
      <c r="G3" s="280" t="s">
        <v>858</v>
      </c>
      <c r="H3" s="275" t="s">
        <v>859</v>
      </c>
      <c r="I3" s="1960">
        <f>ROUND('数据-基础表'!B3/'数据-基础表'!A3,2)</f>
        <v>3</v>
      </c>
      <c r="J3" s="1968"/>
      <c r="K3" s="1968"/>
      <c r="L3" s="1968"/>
    </row>
    <row r="4" spans="1:16" ht="15">
      <c r="A4" s="3310"/>
      <c r="B4" s="3311"/>
      <c r="C4" s="3312"/>
      <c r="D4" s="108" t="s">
        <v>204</v>
      </c>
      <c r="E4" s="109" t="s">
        <v>205</v>
      </c>
      <c r="F4" s="1968"/>
      <c r="G4" s="1197"/>
      <c r="H4" s="275" t="s">
        <v>860</v>
      </c>
      <c r="I4" s="1960">
        <f>ROUND(SUMIF('数据-基础表'!I9:AS9,"地上",'数据-基础表'!I5:AS5)/'数据-基础表'!A3,2)</f>
        <v>3</v>
      </c>
      <c r="J4" s="1968"/>
      <c r="K4" s="1968"/>
      <c r="L4" s="1968"/>
    </row>
    <row r="5" spans="1:16">
      <c r="A5" s="110" t="s">
        <v>207</v>
      </c>
      <c r="B5" s="3313" t="s">
        <v>230</v>
      </c>
      <c r="C5" s="3313"/>
      <c r="D5" s="111">
        <f>ROUND($D$3*E5/$E$3,2)</f>
        <v>16143.38</v>
      </c>
      <c r="E5" s="112">
        <f>SUMIF('数据-基础表'!$11:$11,"住宅",'数据-基础表'!$5:$5)</f>
        <v>48430</v>
      </c>
      <c r="F5" s="1968"/>
      <c r="G5" s="280" t="s">
        <v>861</v>
      </c>
      <c r="H5" s="275" t="s">
        <v>859</v>
      </c>
      <c r="I5" s="1960">
        <f>ROUND(E31/D31,2)</f>
        <v>3</v>
      </c>
      <c r="J5" s="1968"/>
      <c r="K5" s="1968"/>
      <c r="L5" s="1968"/>
    </row>
    <row r="6" spans="1:16" ht="15" thickBot="1">
      <c r="A6" s="113"/>
      <c r="B6" s="3313" t="s">
        <v>208</v>
      </c>
      <c r="C6" s="3313"/>
      <c r="D6" s="111">
        <f>ROUND($D$3*E6/$E$3,2)</f>
        <v>4880.0200000000004</v>
      </c>
      <c r="E6" s="112">
        <f>E3-E5</f>
        <v>14640</v>
      </c>
      <c r="F6" s="1968"/>
      <c r="G6" s="1197"/>
      <c r="H6" s="275" t="s">
        <v>860</v>
      </c>
      <c r="I6" s="1960">
        <f>ROUND(F31/D31,2)</f>
        <v>3</v>
      </c>
      <c r="J6" s="1968"/>
      <c r="K6" s="1968"/>
      <c r="L6" s="1968"/>
    </row>
    <row r="7" spans="1:16" ht="15">
      <c r="A7" s="3305"/>
      <c r="B7" s="3306"/>
      <c r="C7" s="3307"/>
      <c r="D7" s="108" t="s">
        <v>204</v>
      </c>
      <c r="E7" s="114" t="s">
        <v>231</v>
      </c>
      <c r="F7" s="1968"/>
      <c r="G7" s="1152" t="s">
        <v>1645</v>
      </c>
      <c r="H7" s="1153"/>
      <c r="I7" s="1830"/>
      <c r="J7" s="1968"/>
      <c r="K7" s="1968"/>
      <c r="L7" s="1968"/>
    </row>
    <row r="8" spans="1:16">
      <c r="A8" s="110" t="s">
        <v>209</v>
      </c>
      <c r="B8" s="115" t="s">
        <v>210</v>
      </c>
      <c r="C8" s="111" t="s">
        <v>211</v>
      </c>
      <c r="D8" s="111">
        <f t="shared" ref="D8:D15" si="0">ROUND($D$3*E8/$E$3,2)</f>
        <v>16143.38</v>
      </c>
      <c r="E8" s="116">
        <f>SUMIF('数据-基础表'!BB10:BK10,"地上",'数据-基础表'!BB5:BK5)</f>
        <v>48430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2323</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2330</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16143.38</v>
      </c>
      <c r="E16" s="120">
        <f>SUM(E8:E15)</f>
        <v>48430</v>
      </c>
      <c r="F16" s="1968"/>
      <c r="G16" s="1970"/>
      <c r="H16" s="968" t="s">
        <v>219</v>
      </c>
      <c r="I16" s="969"/>
      <c r="J16" s="1968"/>
      <c r="K16" s="3299" t="s">
        <v>2562</v>
      </c>
      <c r="L16" s="3300"/>
      <c r="M16" s="3300"/>
      <c r="N16" s="3300"/>
      <c r="O16" s="3300"/>
      <c r="P16" s="3301"/>
    </row>
    <row r="17" spans="1:19" ht="15">
      <c r="A17" s="121" t="s">
        <v>216</v>
      </c>
      <c r="B17" s="122" t="s">
        <v>217</v>
      </c>
      <c r="C17" s="2282" t="s">
        <v>2309</v>
      </c>
      <c r="D17" s="108" t="s">
        <v>204</v>
      </c>
      <c r="E17" s="124" t="s">
        <v>205</v>
      </c>
      <c r="F17" s="125"/>
      <c r="G17" s="1362"/>
      <c r="H17" s="970" t="s">
        <v>218</v>
      </c>
      <c r="I17" s="971" t="s">
        <v>2308</v>
      </c>
      <c r="J17" s="1968"/>
      <c r="K17" s="3302" t="s">
        <v>2563</v>
      </c>
      <c r="L17" s="3303"/>
      <c r="M17" s="3304"/>
      <c r="N17" s="3302" t="s">
        <v>2564</v>
      </c>
      <c r="O17" s="3303"/>
      <c r="P17" s="3304"/>
      <c r="R17" s="2283" t="s">
        <v>2307</v>
      </c>
      <c r="S17" s="144"/>
    </row>
    <row r="18" spans="1:19" ht="15">
      <c r="A18" s="117"/>
      <c r="B18" s="128"/>
      <c r="C18" s="129"/>
      <c r="D18" s="2605"/>
      <c r="E18" s="130" t="s">
        <v>220</v>
      </c>
      <c r="F18" s="131" t="s">
        <v>221</v>
      </c>
      <c r="G18" s="1363" t="s">
        <v>222</v>
      </c>
      <c r="H18" s="972" t="s">
        <v>223</v>
      </c>
      <c r="I18" s="973" t="s">
        <v>224</v>
      </c>
      <c r="J18" s="1968"/>
      <c r="K18" s="2568" t="s">
        <v>2565</v>
      </c>
      <c r="L18" s="2569" t="s">
        <v>2566</v>
      </c>
      <c r="M18" s="2570" t="s">
        <v>2567</v>
      </c>
      <c r="N18" s="2568" t="s">
        <v>2565</v>
      </c>
      <c r="O18" s="2569" t="s">
        <v>2566</v>
      </c>
      <c r="P18" s="2570" t="s">
        <v>2567</v>
      </c>
      <c r="R18" s="2284" t="s">
        <v>2305</v>
      </c>
      <c r="S18" s="2284" t="s">
        <v>2306</v>
      </c>
    </row>
    <row r="19" spans="1:19">
      <c r="A19" s="133"/>
      <c r="B19" s="115" t="s">
        <v>225</v>
      </c>
      <c r="C19" s="2976" t="s">
        <v>3018</v>
      </c>
      <c r="D19" s="111">
        <f t="shared" ref="D19:D26" si="1">ROUND($D$3*E19/$E$3,2)</f>
        <v>14716.38</v>
      </c>
      <c r="E19" s="134">
        <f t="shared" ref="E19:E26" si="2">SUM(F19:G19)</f>
        <v>44149</v>
      </c>
      <c r="F19" s="135">
        <f>'数据-基础表'!I13</f>
        <v>44149</v>
      </c>
      <c r="G19" s="1364"/>
      <c r="H19" s="974">
        <f>ROUND($D$3*I19/$E$3,2)</f>
        <v>4880.0200000000004</v>
      </c>
      <c r="I19" s="116">
        <f>IF($I$17="自定义",P19,M19)</f>
        <v>14640</v>
      </c>
      <c r="J19" s="1968"/>
      <c r="K19" s="2571">
        <f t="shared" ref="K19:K26" si="3">ROUND(E$28*E19/E$27,2)</f>
        <v>0</v>
      </c>
      <c r="L19" s="275">
        <f t="shared" ref="L19:L26" si="4">ROUND(IF(COUNTIF(C19,"*住宅*")&gt;0,E$29*E19/E$32,0),2)</f>
        <v>14640</v>
      </c>
      <c r="M19" s="2572">
        <f>K19+L19</f>
        <v>14640</v>
      </c>
      <c r="N19" s="2573"/>
      <c r="O19" s="2574"/>
      <c r="P19" s="2575">
        <f>N19+O19</f>
        <v>0</v>
      </c>
      <c r="R19" s="275">
        <f t="shared" ref="R19:S26" si="5">D19+H19</f>
        <v>19596.400000000001</v>
      </c>
      <c r="S19" s="2285">
        <f t="shared" si="5"/>
        <v>58789</v>
      </c>
    </row>
    <row r="20" spans="1:19">
      <c r="A20" s="138"/>
      <c r="B20" s="115" t="s">
        <v>226</v>
      </c>
      <c r="C20" s="2976" t="s">
        <v>3019</v>
      </c>
      <c r="D20" s="111">
        <f t="shared" si="1"/>
        <v>1427</v>
      </c>
      <c r="E20" s="134">
        <f t="shared" si="2"/>
        <v>4281</v>
      </c>
      <c r="F20" s="135">
        <f>'数据-基础表'!K13</f>
        <v>4281</v>
      </c>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1427</v>
      </c>
      <c r="S20" s="2285">
        <f t="shared" si="5"/>
        <v>4281</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16143.38</v>
      </c>
      <c r="E27" s="143">
        <f>IF(SUM(E19:E26)='数据-基础表'!BA5,SUM(E19:E26),IF(F27="地上面积有误","面积有误","地下面积有误"))</f>
        <v>48430</v>
      </c>
      <c r="F27" s="134">
        <f>IF(SUM(F19:F26)=E8,SUM(F19:F26),"地上面积有误")</f>
        <v>48430</v>
      </c>
      <c r="G27" s="112">
        <f>SUM(G19:G26)</f>
        <v>0</v>
      </c>
      <c r="H27" s="975">
        <f>SUM(H19:H26)</f>
        <v>4880.0200000000004</v>
      </c>
      <c r="I27" s="976">
        <f>SUM(I19:I26)</f>
        <v>14640</v>
      </c>
      <c r="J27" s="1968"/>
      <c r="K27" s="2580">
        <f t="shared" ref="K27:P27" si="10">SUM(K19:K26)</f>
        <v>0</v>
      </c>
      <c r="L27" s="2581">
        <f t="shared" si="10"/>
        <v>14640</v>
      </c>
      <c r="M27" s="2582">
        <f t="shared" si="10"/>
        <v>14640</v>
      </c>
      <c r="N27" s="2580">
        <f t="shared" si="10"/>
        <v>0</v>
      </c>
      <c r="O27" s="2581">
        <f t="shared" si="10"/>
        <v>0</v>
      </c>
      <c r="P27" s="2583">
        <f t="shared" si="10"/>
        <v>0</v>
      </c>
      <c r="R27" s="2289">
        <f>IF(SUM(R19:R26)=$D$3,SUM(R19:R26),SUM(R19:R26)&amp;"误差"&amp;ROUND(SUM(R19:R26)-$D$3,2))</f>
        <v>21023.4</v>
      </c>
      <c r="S27" s="275">
        <f>IF(SUM(S19:S26)=$E$3,SUM(S19:S26),SUM(S19:S26)&amp;"误差"&amp;ROUND(SUM(S19:S26)-E3,2))</f>
        <v>63070</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2316</v>
      </c>
      <c r="D29" s="111">
        <f>ROUND($D$3*E29/$E$3,2)</f>
        <v>4880.0200000000004</v>
      </c>
      <c r="E29" s="134">
        <f>SUM(F29:G29)</f>
        <v>14640</v>
      </c>
      <c r="F29" s="144">
        <f>'数据-基础表'!BM5+'数据-基础表'!BO5</f>
        <v>14640</v>
      </c>
      <c r="G29" s="146">
        <f>'数据-基础表'!BN5+'数据-基础表'!BP5</f>
        <v>0</v>
      </c>
      <c r="H29" s="1968"/>
      <c r="I29" s="1968"/>
      <c r="J29" s="1968"/>
      <c r="K29" s="1968"/>
      <c r="L29" s="1968"/>
    </row>
    <row r="30" spans="1:19">
      <c r="A30" s="138"/>
      <c r="B30" s="111"/>
      <c r="C30" s="147" t="s">
        <v>215</v>
      </c>
      <c r="D30" s="134">
        <f>SUM(D28:D29)</f>
        <v>4880.0200000000004</v>
      </c>
      <c r="E30" s="134">
        <f>SUM(E28:E29)</f>
        <v>14640</v>
      </c>
      <c r="F30" s="134">
        <f>SUM(F28:F29)</f>
        <v>14640</v>
      </c>
      <c r="G30" s="112">
        <f>SUM(G28:G29)</f>
        <v>0</v>
      </c>
      <c r="H30" s="1968"/>
      <c r="I30" s="1968"/>
      <c r="J30" s="1968"/>
      <c r="K30" s="1968"/>
      <c r="L30" s="1968"/>
    </row>
    <row r="31" spans="1:19" ht="32.25" customHeight="1" thickBot="1">
      <c r="A31" s="1366"/>
      <c r="B31" s="1367" t="s">
        <v>229</v>
      </c>
      <c r="C31" s="2314" t="s">
        <v>2318</v>
      </c>
      <c r="D31" s="1368">
        <f>D27+D30</f>
        <v>21023.4</v>
      </c>
      <c r="E31" s="1368">
        <f>E27+E30</f>
        <v>63070</v>
      </c>
      <c r="F31" s="1369">
        <f>F27+F30</f>
        <v>63070</v>
      </c>
      <c r="G31" s="1370">
        <f>G27+G30</f>
        <v>0</v>
      </c>
      <c r="H31" s="1968"/>
      <c r="I31" s="1968"/>
      <c r="J31" s="1968"/>
      <c r="K31" s="1968"/>
      <c r="L31" s="1968"/>
    </row>
    <row r="32" spans="1:19">
      <c r="A32" s="1968"/>
      <c r="B32" s="2326" t="s">
        <v>2317</v>
      </c>
      <c r="C32" s="2610"/>
      <c r="D32" s="1197"/>
      <c r="E32" s="1197">
        <f>SUMIF(C19:C26,"*住宅*",E19:E26)</f>
        <v>44149</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43910</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2320</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2822</v>
      </c>
      <c r="O5" s="163" t="s">
        <v>246</v>
      </c>
      <c r="P5" s="165" t="s">
        <v>247</v>
      </c>
      <c r="Q5" s="166" t="s">
        <v>248</v>
      </c>
      <c r="R5" s="167" t="s">
        <v>249</v>
      </c>
      <c r="S5" s="2584" t="s">
        <v>2568</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2319</v>
      </c>
      <c r="AI5" s="171" t="s">
        <v>2288</v>
      </c>
      <c r="AJ5" s="171" t="s">
        <v>258</v>
      </c>
      <c r="AK5" s="159" t="s">
        <v>259</v>
      </c>
      <c r="AL5" s="159" t="s">
        <v>260</v>
      </c>
      <c r="AM5" s="172" t="s">
        <v>261</v>
      </c>
      <c r="AN5" s="2354" t="s">
        <v>2369</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69322</v>
      </c>
      <c r="F6" s="174">
        <f>SUMIF(项目基本情况!D$15:I$15,C6,项目基本情况!D$19:I$19)</f>
        <v>69.62</v>
      </c>
      <c r="G6" s="175">
        <f t="shared" ref="G6:G13" si="0">IF(ISERROR(ROUND(POWER(1+H6,D6-F6)*(POWER(1+H6,F6)-1)/(POWER(1+H6,D6)-1),3)),0,ROUND(POWER(1+H6,D6-F6)*(POWER(1+H6,F6)-1)/(POWER(1+H6,D6)-1),3))</f>
        <v>0.999</v>
      </c>
      <c r="H6" s="2977">
        <v>4.4999999999999998E-2</v>
      </c>
      <c r="I6" s="2977">
        <v>0.05</v>
      </c>
      <c r="J6" s="176">
        <v>0.08</v>
      </c>
      <c r="K6" s="179">
        <f>SUMIF('数据-汇总表'!C$19:C$33,'数据-取费表'!A6,'数据-汇总表'!E$19:E$33)</f>
        <v>44149</v>
      </c>
      <c r="L6" s="2978">
        <f>3000+5000</f>
        <v>8000</v>
      </c>
      <c r="M6" s="177">
        <f t="shared" ref="M6:M14" si="1">ROUND(K6*L6/10000,0)</f>
        <v>35319</v>
      </c>
      <c r="N6" s="2979">
        <v>0</v>
      </c>
      <c r="O6" s="177">
        <f>IF($N$5="成新度","——",ROUND(M6*N6,0))</f>
        <v>0</v>
      </c>
      <c r="P6" s="178">
        <f>IF($N$5="成新度","——",M6-O6)</f>
        <v>35319</v>
      </c>
      <c r="Q6" s="2980">
        <v>0.2</v>
      </c>
      <c r="R6" s="179">
        <f>SUMIF('数据-汇总表'!C$19:C$33,A6,'数据-汇总表'!R$19:R$33)</f>
        <v>19596.400000000001</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0.95299999999999996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2">IF(A7=0,"","经营性")</f>
        <v>经营性</v>
      </c>
      <c r="C7" s="173" t="s">
        <v>3004</v>
      </c>
      <c r="D7" s="2292">
        <f>SUMIF(项目基本情况!D$15:I$15,C7,项目基本情况!D$18:I$18)</f>
        <v>40</v>
      </c>
      <c r="E7" s="2293">
        <f>IF(B7="","",SUMIF(项目基本情况!D$15:I$15,C7,项目基本情况!D$17:I$17))</f>
        <v>58364</v>
      </c>
      <c r="F7" s="174">
        <f>SUMIF(项目基本情况!D$15:I$15,C7,项目基本情况!D$19:I$19)</f>
        <v>39.6</v>
      </c>
      <c r="G7" s="175">
        <f t="shared" si="0"/>
        <v>0.997</v>
      </c>
      <c r="H7" s="2977">
        <v>0.05</v>
      </c>
      <c r="I7" s="2977">
        <v>5.5E-2</v>
      </c>
      <c r="J7" s="176">
        <v>0.08</v>
      </c>
      <c r="K7" s="179">
        <f>SUMIF('数据-汇总表'!C$19:C$33,'数据-取费表'!A7,'数据-汇总表'!E$19:E$33)</f>
        <v>4281</v>
      </c>
      <c r="L7" s="2978">
        <v>3000</v>
      </c>
      <c r="M7" s="177">
        <f t="shared" si="1"/>
        <v>1284</v>
      </c>
      <c r="N7" s="2979">
        <v>0</v>
      </c>
      <c r="O7" s="177">
        <f t="shared" ref="O7:O14" si="3">IF($N$5="成新度","——",ROUND(M7*N7,0))</f>
        <v>0</v>
      </c>
      <c r="P7" s="178">
        <f t="shared" ref="P7:P14" si="4">IF($N$5="成新度","——",M7-O7)</f>
        <v>1284</v>
      </c>
      <c r="Q7" s="2980">
        <v>0.2</v>
      </c>
      <c r="R7" s="179">
        <f>SUMIF('数据-汇总表'!C$19:C$33,A7,'数据-汇总表'!R$19:R$33)</f>
        <v>1427</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10</v>
      </c>
      <c r="V7" s="181">
        <v>0.03</v>
      </c>
      <c r="W7" s="181">
        <v>0.1</v>
      </c>
      <c r="X7" s="2305"/>
      <c r="Y7" s="182">
        <v>1</v>
      </c>
      <c r="Z7" s="183"/>
      <c r="AA7" s="176"/>
      <c r="AB7" s="176"/>
      <c r="AC7" s="2308"/>
      <c r="AD7" s="184"/>
      <c r="AE7" s="972">
        <f t="shared" ref="AE7:AE13" ca="1" si="6">IF(AN7="",0,SUMIF(INDIRECT("'"&amp;AN7&amp;"'"&amp;"!E:E"),$AE$5,INDIRECT("'"&amp;AN7&amp;"'"&amp;"!F:F")))</f>
        <v>37.1</v>
      </c>
      <c r="AF7" s="141"/>
      <c r="AG7" s="1209">
        <f t="shared" ref="AG7:AG13" si="7">IF(AF7="",0,AE7-AF7)</f>
        <v>0</v>
      </c>
      <c r="AH7" s="141"/>
      <c r="AI7" s="187">
        <v>365</v>
      </c>
      <c r="AJ7" s="188"/>
      <c r="AK7" s="189">
        <v>1.4999999999999999E-2</v>
      </c>
      <c r="AL7" s="190">
        <v>1.5E-3</v>
      </c>
      <c r="AM7" s="2353">
        <v>0.02</v>
      </c>
      <c r="AN7" s="2355" t="s">
        <v>3106</v>
      </c>
      <c r="AO7" s="1984"/>
      <c r="AP7" s="1200">
        <f t="shared" ref="AP7:AP13" si="8">ROUND(1-1/(1+H7)^F7,3)</f>
        <v>0.85499999999999998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2"/>
        <v/>
      </c>
      <c r="C8" s="173"/>
      <c r="D8" s="2292">
        <f>SUMIF(项目基本情况!D$15:I$15,C8,项目基本情况!D$18:I$18)</f>
        <v>0</v>
      </c>
      <c r="E8" s="2293" t="str">
        <f>IF(B8="","",SUMIF(项目基本情况!D$15:I$15,C8,项目基本情况!D$17:I$17))</f>
        <v/>
      </c>
      <c r="F8" s="174">
        <f>SUMIF(项目基本情况!D$15:I$15,C8,项目基本情况!D$19:I$19)</f>
        <v>0</v>
      </c>
      <c r="G8" s="175">
        <f t="shared" si="0"/>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2"/>
        <v/>
      </c>
      <c r="C9" s="173"/>
      <c r="D9" s="2292">
        <f>SUMIF(项目基本情况!D$15:I$15,C9,项目基本情况!D$18:I$18)</f>
        <v>0</v>
      </c>
      <c r="E9" s="2293"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2"/>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2"/>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2"/>
        <v/>
      </c>
      <c r="C12" s="173"/>
      <c r="D12" s="2292">
        <f>SUMIF(项目基本情况!D$15:I$15,C12,项目基本情况!D$18:I$18)</f>
        <v>0</v>
      </c>
      <c r="E12" s="2293"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2"/>
        <v/>
      </c>
      <c r="C13" s="173"/>
      <c r="D13" s="2292">
        <f>SUMIF(项目基本情况!D$15:I$15,C13,项目基本情况!D$18:I$18)</f>
        <v>0</v>
      </c>
      <c r="E13" s="2293"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2310</v>
      </c>
      <c r="B14" s="2290" t="s">
        <v>1679</v>
      </c>
      <c r="C14" s="2291" t="s">
        <v>2310</v>
      </c>
      <c r="D14" s="2292"/>
      <c r="E14" s="2293"/>
      <c r="F14" s="174"/>
      <c r="G14" s="175"/>
      <c r="H14" s="2294"/>
      <c r="I14" s="2294"/>
      <c r="J14" s="2294"/>
      <c r="K14" s="179">
        <f>SUMIF('数据-汇总表'!C$19:C$33,'数据-取费表'!A14,'数据-汇总表'!E$19:E$33)</f>
        <v>0</v>
      </c>
      <c r="L14" s="193"/>
      <c r="M14" s="177">
        <f t="shared" si="1"/>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2312</v>
      </c>
      <c r="B15" s="2290" t="s">
        <v>1679</v>
      </c>
      <c r="C15" s="2291" t="s">
        <v>2311</v>
      </c>
      <c r="D15" s="2292"/>
      <c r="E15" s="2293"/>
      <c r="F15" s="174"/>
      <c r="G15" s="175"/>
      <c r="H15" s="2294"/>
      <c r="I15" s="2294"/>
      <c r="J15" s="2294"/>
      <c r="K15" s="179">
        <f>SUMIF('数据-汇总表'!C$19:C$33,'数据-取费表'!A15,'数据-汇总表'!E$19:E$33)</f>
        <v>14640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63070</v>
      </c>
      <c r="L16" s="206">
        <f>ROUND(M16*10000/SUM(K6:K14),0)</f>
        <v>7558</v>
      </c>
      <c r="M16" s="206">
        <f>SUM(M6:M14)</f>
        <v>36603</v>
      </c>
      <c r="N16" s="207">
        <f>ROUND(SUMPRODUCT(M6:M14,N6:N14)/M16,3)</f>
        <v>0</v>
      </c>
      <c r="O16" s="206">
        <f>SUM(O6:O14)</f>
        <v>0</v>
      </c>
      <c r="P16" s="206">
        <f>SUM(P6:P14)</f>
        <v>36603</v>
      </c>
      <c r="Q16" s="208">
        <f>ROUND(SUMPRODUCT(Q6:Q13,K6:K13)/SUMPRODUCT((Q6:Q13&gt;0)*(K6:K13)),2)</f>
        <v>0.2</v>
      </c>
      <c r="R16" s="2295">
        <f>SUM(R6:R13)</f>
        <v>21023.4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0.94399999999999995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2332</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2331</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2334</v>
      </c>
      <c r="B27" s="227">
        <v>160</v>
      </c>
      <c r="C27" s="2330" t="s">
        <v>2338</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2335</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2333</v>
      </c>
      <c r="B29" s="232"/>
      <c r="C29" s="1539" t="s">
        <v>2336</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0.05</v>
      </c>
      <c r="C33" s="2328" t="s">
        <v>2884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0.1</v>
      </c>
      <c r="C34" s="2328" t="s">
        <v>2885</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2888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2888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2452</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2453</v>
      </c>
      <c r="B40" s="2444">
        <f ca="1">存贷款利率!E2</f>
        <v>4.7500000000000001E-2</v>
      </c>
      <c r="C40" s="2328" t="s">
        <v>2337</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2889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12</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925</v>
      </c>
      <c r="C53" s="3027" t="s">
        <v>2895</v>
      </c>
      <c r="D53" s="3028" t="s">
        <v>2896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2897</v>
      </c>
      <c r="B54" s="186">
        <f>C54</f>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2898</v>
      </c>
      <c r="B55" s="186">
        <f t="shared" ref="B55:B59" si="9">C55</f>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2899</v>
      </c>
      <c r="B56" s="186">
        <f t="shared" si="9"/>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2900</v>
      </c>
      <c r="B57" s="186">
        <f t="shared" si="9"/>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2901</v>
      </c>
      <c r="B58" s="186">
        <f t="shared" si="9"/>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2902</v>
      </c>
      <c r="B59" s="186">
        <f t="shared" si="9"/>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14" t="s">
        <v>1663</v>
      </c>
      <c r="B1" s="3315"/>
      <c r="C1" s="3315"/>
      <c r="D1" s="3315"/>
      <c r="E1" s="3315"/>
      <c r="F1" s="3315"/>
      <c r="G1" s="3315"/>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27">
      <c r="A3" s="1223" t="s">
        <v>1666</v>
      </c>
      <c r="B3" s="1224" t="s">
        <v>1653</v>
      </c>
      <c r="C3" s="3182" t="s">
        <v>3020</v>
      </c>
      <c r="D3" s="1993"/>
      <c r="E3" s="1225" t="s">
        <v>1666</v>
      </c>
      <c r="F3" s="1226" t="s">
        <v>1654</v>
      </c>
      <c r="G3" s="3033"/>
      <c r="H3" s="1992"/>
      <c r="I3" s="1992"/>
      <c r="J3" s="1992"/>
      <c r="K3" s="1992"/>
      <c r="L3" s="1992"/>
      <c r="M3" s="1992"/>
      <c r="N3" s="1992"/>
      <c r="O3" s="1992"/>
      <c r="P3" s="1992"/>
      <c r="Q3" s="1992"/>
      <c r="R3" s="1992"/>
    </row>
    <row r="4" spans="1:18" ht="14.25">
      <c r="A4" s="1225"/>
      <c r="B4" s="1227" t="s">
        <v>1667</v>
      </c>
      <c r="C4" s="3183" t="s">
        <v>3021</v>
      </c>
      <c r="D4" s="1993"/>
      <c r="E4" s="1228"/>
      <c r="F4" s="1229" t="s">
        <v>1668</v>
      </c>
      <c r="G4" s="3032"/>
      <c r="H4" s="1992"/>
      <c r="I4" s="1992"/>
      <c r="J4" s="1992"/>
      <c r="K4" s="1992"/>
      <c r="L4" s="1992"/>
      <c r="M4" s="1992"/>
      <c r="N4" s="1992"/>
      <c r="O4" s="1992"/>
      <c r="P4" s="1992"/>
      <c r="Q4" s="1992"/>
      <c r="R4" s="1992"/>
    </row>
    <row r="5" spans="1:18" ht="14.25">
      <c r="A5" s="1225"/>
      <c r="B5" s="1227" t="s">
        <v>1669</v>
      </c>
      <c r="C5" s="3183" t="s">
        <v>3022</v>
      </c>
      <c r="D5" s="1993"/>
      <c r="E5" s="1228"/>
      <c r="F5" s="1227" t="s">
        <v>2542</v>
      </c>
      <c r="G5" s="3032"/>
      <c r="H5" s="1992"/>
      <c r="I5" s="1992"/>
      <c r="J5" s="1992"/>
      <c r="K5" s="1992"/>
      <c r="L5" s="1992"/>
      <c r="M5" s="1992"/>
      <c r="N5" s="1992"/>
      <c r="O5" s="1992"/>
      <c r="P5" s="1992"/>
      <c r="Q5" s="1992"/>
      <c r="R5" s="1992"/>
    </row>
    <row r="6" spans="1:18" ht="14.25">
      <c r="A6" s="1225"/>
      <c r="B6" s="1227" t="s">
        <v>1655</v>
      </c>
      <c r="C6" s="3184" t="s">
        <v>3023</v>
      </c>
      <c r="D6" s="1993"/>
      <c r="E6" s="1228"/>
      <c r="F6" s="1227" t="s">
        <v>2543</v>
      </c>
      <c r="G6" s="3032"/>
      <c r="H6" s="1992"/>
      <c r="I6" s="1992"/>
      <c r="J6" s="1992"/>
      <c r="K6" s="1992"/>
      <c r="L6" s="1992"/>
      <c r="M6" s="1992"/>
      <c r="N6" s="1992"/>
      <c r="O6" s="1992"/>
      <c r="P6" s="1992"/>
      <c r="Q6" s="1992"/>
      <c r="R6" s="1992"/>
    </row>
    <row r="7" spans="1:18" ht="15" thickBot="1">
      <c r="A7" s="1225"/>
      <c r="B7" s="1227" t="s">
        <v>2542</v>
      </c>
      <c r="C7" s="3184" t="s">
        <v>3021</v>
      </c>
      <c r="D7" s="1994"/>
      <c r="E7" s="1230"/>
      <c r="F7" s="1231" t="s">
        <v>1670</v>
      </c>
      <c r="G7" s="3034"/>
      <c r="H7" s="1992"/>
      <c r="I7" s="1992"/>
      <c r="J7" s="1992"/>
      <c r="K7" s="1992"/>
      <c r="L7" s="1992"/>
      <c r="M7" s="1992"/>
      <c r="N7" s="1992"/>
      <c r="O7" s="1992"/>
      <c r="P7" s="1992"/>
      <c r="Q7" s="1992"/>
      <c r="R7" s="1992"/>
    </row>
    <row r="8" spans="1:18">
      <c r="A8" s="1225"/>
      <c r="B8" s="1227" t="s">
        <v>2543</v>
      </c>
      <c r="C8" s="3184" t="s">
        <v>3024</v>
      </c>
      <c r="D8" s="1994"/>
      <c r="E8" s="1994"/>
      <c r="F8" s="1540"/>
      <c r="G8" s="1540"/>
      <c r="H8" s="1992"/>
      <c r="I8" s="1992"/>
      <c r="J8" s="1992"/>
      <c r="K8" s="1992"/>
      <c r="L8" s="1992"/>
      <c r="M8" s="1992"/>
      <c r="N8" s="1992"/>
      <c r="O8" s="1992"/>
      <c r="P8" s="1992"/>
      <c r="Q8" s="1992"/>
      <c r="R8" s="1992"/>
    </row>
    <row r="9" spans="1:18">
      <c r="A9" s="1225"/>
      <c r="B9" s="1227" t="s">
        <v>1656</v>
      </c>
      <c r="C9" s="3183" t="s">
        <v>3165</v>
      </c>
      <c r="D9" s="1993"/>
      <c r="E9" s="1994"/>
      <c r="F9" s="1540"/>
      <c r="G9" s="1540"/>
      <c r="H9" s="1992"/>
      <c r="I9" s="1992"/>
      <c r="J9" s="1992"/>
      <c r="K9" s="1992"/>
      <c r="L9" s="1992"/>
      <c r="M9" s="1992"/>
      <c r="N9" s="1992"/>
      <c r="O9" s="1992"/>
      <c r="P9" s="1992"/>
      <c r="Q9" s="1992"/>
      <c r="R9" s="1992"/>
    </row>
    <row r="10" spans="1:18" s="2000" customFormat="1" ht="14.25" thickBot="1">
      <c r="A10" s="1232"/>
      <c r="B10" s="1233" t="s">
        <v>1671</v>
      </c>
      <c r="C10" s="3185" t="s">
        <v>3025</v>
      </c>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27">
      <c r="A15" s="2551" t="s">
        <v>1657</v>
      </c>
      <c r="B15" s="1238" t="s">
        <v>1653</v>
      </c>
      <c r="C15" s="1239" t="str">
        <f>C3</f>
        <v>较好</v>
      </c>
      <c r="D15" s="1993"/>
      <c r="E15" s="2548" t="s">
        <v>1658</v>
      </c>
      <c r="F15" s="1238" t="s">
        <v>1673</v>
      </c>
      <c r="G15" s="1240">
        <f>G3</f>
        <v>0</v>
      </c>
    </row>
    <row r="16" spans="1:18">
      <c r="A16" s="2552"/>
      <c r="B16" s="1241" t="s">
        <v>1667</v>
      </c>
      <c r="C16" s="1242" t="str">
        <f>C4</f>
        <v>较好</v>
      </c>
      <c r="D16" s="1993"/>
      <c r="E16" s="2549"/>
      <c r="F16" s="1243" t="s">
        <v>1668</v>
      </c>
      <c r="G16" s="1005">
        <f>G4</f>
        <v>0</v>
      </c>
    </row>
    <row r="17" spans="1:7" ht="14.25">
      <c r="A17" s="2552"/>
      <c r="B17" s="1241" t="s">
        <v>1669</v>
      </c>
      <c r="C17" s="1242" t="str">
        <f>C5</f>
        <v>一般</v>
      </c>
      <c r="D17" s="1994"/>
      <c r="E17" s="2549"/>
      <c r="F17" s="1243" t="s">
        <v>1674</v>
      </c>
      <c r="G17" s="2749"/>
    </row>
    <row r="18" spans="1:7">
      <c r="A18" s="2552"/>
      <c r="B18" s="1243" t="s">
        <v>1655</v>
      </c>
      <c r="C18" s="1005" t="str">
        <f>C6</f>
        <v>好</v>
      </c>
      <c r="D18" s="1994"/>
      <c r="E18" s="2549"/>
      <c r="F18" s="1243" t="s">
        <v>1670</v>
      </c>
      <c r="G18" s="1005">
        <f>G7</f>
        <v>0</v>
      </c>
    </row>
    <row r="19" spans="1:7">
      <c r="A19" s="2552"/>
      <c r="B19" s="1243" t="s">
        <v>1659</v>
      </c>
      <c r="C19" s="3186" t="s">
        <v>3021</v>
      </c>
      <c r="D19" s="1993"/>
      <c r="E19" s="2549"/>
      <c r="F19" s="1227" t="s">
        <v>2542</v>
      </c>
      <c r="G19" s="1005">
        <f>G5</f>
        <v>0</v>
      </c>
    </row>
    <row r="20" spans="1:7">
      <c r="A20" s="2552"/>
      <c r="B20" s="1243" t="s">
        <v>1660</v>
      </c>
      <c r="C20" s="1242" t="str">
        <f>C9</f>
        <v>一般</v>
      </c>
      <c r="D20" s="1994"/>
      <c r="E20" s="2549"/>
      <c r="F20" s="1227" t="s">
        <v>2543</v>
      </c>
      <c r="G20" s="1005">
        <f>G6</f>
        <v>0</v>
      </c>
    </row>
    <row r="21" spans="1:7" ht="14.25">
      <c r="A21" s="2552"/>
      <c r="B21" s="1227" t="s">
        <v>2542</v>
      </c>
      <c r="C21" s="1005" t="str">
        <f>C7</f>
        <v>较好</v>
      </c>
      <c r="D21" s="1993"/>
      <c r="E21" s="2549"/>
      <c r="F21" s="1243" t="s">
        <v>1661</v>
      </c>
      <c r="G21" s="3035"/>
    </row>
    <row r="22" spans="1:7" ht="14.25">
      <c r="A22" s="2552"/>
      <c r="B22" s="1227" t="s">
        <v>2543</v>
      </c>
      <c r="C22" s="1005" t="str">
        <f>C8</f>
        <v>七通</v>
      </c>
      <c r="D22" s="1993"/>
      <c r="E22" s="2549"/>
      <c r="F22" s="1243" t="s">
        <v>1671</v>
      </c>
      <c r="G22" s="2749"/>
    </row>
    <row r="23" spans="1:7" ht="15" thickBot="1">
      <c r="A23" s="2552"/>
      <c r="B23" s="1243" t="s">
        <v>1661</v>
      </c>
      <c r="C23" s="3035" t="s">
        <v>3026</v>
      </c>
      <c r="E23" s="2550"/>
      <c r="F23" s="1244" t="s">
        <v>1675</v>
      </c>
      <c r="G23" s="3036"/>
    </row>
    <row r="24" spans="1:7" ht="14.25" thickBot="1">
      <c r="A24" s="2553"/>
      <c r="B24" s="1244" t="s">
        <v>1662</v>
      </c>
      <c r="C24" s="1245" t="str">
        <f>C10</f>
        <v>次干道</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
    </sheetView>
  </sheetViews>
  <sheetFormatPr defaultColWidth="14.625" defaultRowHeight="13.5"/>
  <cols>
    <col min="1" max="1" width="24.375" customWidth="1"/>
  </cols>
  <sheetData>
    <row r="1" spans="1:9" ht="16.5">
      <c r="A1" s="2996" t="s">
        <v>2838</v>
      </c>
      <c r="B1" s="2996">
        <f>SUM(B14:B23)</f>
        <v>63070</v>
      </c>
      <c r="C1" s="2997"/>
      <c r="D1" s="2997"/>
      <c r="E1" s="2997"/>
      <c r="F1" s="2997"/>
    </row>
    <row r="2" spans="1:9" ht="16.5">
      <c r="A2" s="2996" t="s">
        <v>2839</v>
      </c>
      <c r="B2" s="2996">
        <f>SUM(C14:C23)</f>
        <v>21023.4</v>
      </c>
      <c r="C2" s="2997"/>
      <c r="D2" s="2997"/>
      <c r="E2" s="2997"/>
      <c r="F2" s="2997"/>
    </row>
    <row r="3" spans="1:9" ht="16.5">
      <c r="A3" s="2996" t="s">
        <v>2840</v>
      </c>
      <c r="B3" s="2998">
        <f>项目基本情况!D3</f>
        <v>43910</v>
      </c>
      <c r="C3" s="2997"/>
      <c r="D3" s="2997"/>
      <c r="E3" s="2997"/>
      <c r="F3" s="2997"/>
    </row>
    <row r="4" spans="1:9" ht="33">
      <c r="A4" s="2996" t="s">
        <v>2841</v>
      </c>
      <c r="B4" s="2996" t="s">
        <v>2842</v>
      </c>
      <c r="C4" s="2996" t="s">
        <v>2843</v>
      </c>
      <c r="D4" s="2996" t="s">
        <v>2844</v>
      </c>
      <c r="E4" s="2997"/>
      <c r="F4" s="2997"/>
    </row>
    <row r="5" spans="1:9" ht="16.5">
      <c r="A5" s="2996" t="s">
        <v>2845</v>
      </c>
      <c r="B5" s="2996">
        <f ca="1">SUM(D14:D23)</f>
        <v>296127</v>
      </c>
      <c r="C5" s="2996">
        <f ca="1">ROUND(B5*10000/$B$1,0)</f>
        <v>46952</v>
      </c>
      <c r="D5" s="2996">
        <f ca="1">ROUND(B5*10000/$B$2,0)</f>
        <v>140856</v>
      </c>
      <c r="E5" s="2997"/>
      <c r="F5" s="2997"/>
    </row>
    <row r="6" spans="1:9" ht="16.5">
      <c r="A6" s="2996" t="s">
        <v>2846</v>
      </c>
      <c r="B6" s="2996">
        <f ca="1">SUM(G14:G23)</f>
        <v>296127</v>
      </c>
      <c r="C6" s="2996">
        <f ca="1">ROUND(B6*10000/$B$1,0)</f>
        <v>46952</v>
      </c>
      <c r="D6" s="2996">
        <f ca="1">ROUND(B6*10000/$B$2,0)</f>
        <v>140856</v>
      </c>
      <c r="E6" s="2997"/>
      <c r="F6" s="2997"/>
    </row>
    <row r="7" spans="1:9" ht="16.5">
      <c r="A7" s="2996" t="s">
        <v>2847</v>
      </c>
      <c r="B7" s="2996">
        <f>SUM(H14:H23)</f>
        <v>0</v>
      </c>
      <c r="C7" s="2996">
        <f>ROUND(B7*10000/$B$1,0)</f>
        <v>0</v>
      </c>
      <c r="D7" s="2996">
        <f>ROUND(B7*10000/$B$2,0)</f>
        <v>0</v>
      </c>
      <c r="E7" s="2997"/>
      <c r="F7" s="2997"/>
    </row>
    <row r="8" spans="1:9" ht="16.5">
      <c r="A8" s="2996" t="s">
        <v>2848</v>
      </c>
      <c r="B8" s="2996">
        <f>SUM(I14:I23)</f>
        <v>0</v>
      </c>
      <c r="C8" s="2996">
        <f>ROUND(B8*10000/$B$1,0)</f>
        <v>0</v>
      </c>
      <c r="D8" s="2996">
        <f>ROUND(B8*10000/$B$2,0)</f>
        <v>0</v>
      </c>
      <c r="E8" s="2997"/>
      <c r="F8" s="2997"/>
    </row>
    <row r="9" spans="1:9" ht="16.5">
      <c r="A9" s="2996" t="s">
        <v>2849</v>
      </c>
      <c r="B9" s="2999"/>
      <c r="C9" s="2997"/>
      <c r="D9" s="2997"/>
      <c r="E9" s="2997"/>
      <c r="F9" s="2997"/>
    </row>
    <row r="10" spans="1:9" ht="16.5">
      <c r="A10" s="2996" t="s">
        <v>2850</v>
      </c>
      <c r="B10" s="2999"/>
      <c r="C10" s="2997"/>
      <c r="D10" s="2997"/>
      <c r="E10" s="2997"/>
      <c r="F10" s="2997"/>
    </row>
    <row r="11" spans="1:9" ht="16.5">
      <c r="A11" s="2996" t="s">
        <v>2867</v>
      </c>
      <c r="B11" s="2999"/>
      <c r="C11" s="2997"/>
      <c r="D11" s="2997"/>
      <c r="E11" s="2997"/>
      <c r="F11" s="2997"/>
    </row>
    <row r="12" spans="1:9" ht="16.5">
      <c r="A12" s="2997"/>
      <c r="B12" s="2997"/>
      <c r="C12" s="2997"/>
      <c r="D12" s="2997"/>
      <c r="E12" s="2997"/>
      <c r="F12" s="2997"/>
    </row>
    <row r="13" spans="1:9" ht="33">
      <c r="A13" s="3002" t="s">
        <v>2866</v>
      </c>
      <c r="B13" s="3000" t="s">
        <v>2838</v>
      </c>
      <c r="C13" s="3000" t="s">
        <v>2839</v>
      </c>
      <c r="D13" s="3000" t="s">
        <v>2851</v>
      </c>
      <c r="E13" s="2996" t="s">
        <v>2865</v>
      </c>
      <c r="F13" s="2996" t="s">
        <v>2844</v>
      </c>
      <c r="G13" s="3000" t="s">
        <v>2852</v>
      </c>
      <c r="H13" s="3000" t="s">
        <v>2853</v>
      </c>
      <c r="I13" s="3000" t="s">
        <v>2854</v>
      </c>
    </row>
    <row r="14" spans="1:9" ht="16.5">
      <c r="A14" s="3003" t="s">
        <v>2864</v>
      </c>
      <c r="B14" s="3000">
        <f>结果表!L38</f>
        <v>63070</v>
      </c>
      <c r="C14" s="3000">
        <f>结果表!K38</f>
        <v>21023.4</v>
      </c>
      <c r="D14" s="3000">
        <f ca="1">结果表!C42</f>
        <v>296127</v>
      </c>
      <c r="E14" s="3000">
        <f ca="1">ROUND(D14*10000/B14,0)</f>
        <v>46952</v>
      </c>
      <c r="F14" s="3000">
        <f ca="1">ROUND(D14*10000/C14,0)</f>
        <v>140856</v>
      </c>
      <c r="G14" s="3000">
        <f ca="1">结果表!C44</f>
        <v>296127</v>
      </c>
      <c r="H14" s="3000" t="str">
        <f>结果表!C45</f>
        <v>——</v>
      </c>
      <c r="I14" s="3000" t="str">
        <f>结果表!C46</f>
        <v>——</v>
      </c>
    </row>
    <row r="15" spans="1:9" ht="16.5">
      <c r="A15" s="3003" t="s">
        <v>2855</v>
      </c>
      <c r="B15" s="3004"/>
      <c r="C15" s="3004"/>
      <c r="D15" s="3004"/>
      <c r="E15" s="3000" t="e">
        <f t="shared" ref="E15:E23" si="0">ROUND(D15*10000/B15,0)</f>
        <v>#DIV/0!</v>
      </c>
      <c r="F15" s="3000" t="e">
        <f t="shared" ref="F15:F23" si="1">ROUND(D15*10000/C15,0)</f>
        <v>#DIV/0!</v>
      </c>
      <c r="G15" s="3001"/>
      <c r="H15" s="3001"/>
      <c r="I15" s="3004"/>
    </row>
    <row r="16" spans="1:9" ht="16.5">
      <c r="A16" s="3003" t="s">
        <v>2856</v>
      </c>
      <c r="B16" s="3004"/>
      <c r="C16" s="3004"/>
      <c r="D16" s="3004"/>
      <c r="E16" s="3000" t="e">
        <f t="shared" si="0"/>
        <v>#DIV/0!</v>
      </c>
      <c r="F16" s="3000" t="e">
        <f t="shared" si="1"/>
        <v>#DIV/0!</v>
      </c>
      <c r="G16" s="3001"/>
      <c r="H16" s="3001"/>
      <c r="I16" s="3004"/>
    </row>
    <row r="17" spans="1:9" ht="16.5">
      <c r="A17" s="3003" t="s">
        <v>2857</v>
      </c>
      <c r="B17" s="3004"/>
      <c r="C17" s="3004"/>
      <c r="D17" s="3004"/>
      <c r="E17" s="3000" t="e">
        <f t="shared" si="0"/>
        <v>#DIV/0!</v>
      </c>
      <c r="F17" s="3000" t="e">
        <f t="shared" si="1"/>
        <v>#DIV/0!</v>
      </c>
      <c r="G17" s="3001"/>
      <c r="H17" s="3001"/>
      <c r="I17" s="3004"/>
    </row>
    <row r="18" spans="1:9" ht="16.5">
      <c r="A18" s="3003" t="s">
        <v>2858</v>
      </c>
      <c r="B18" s="3004"/>
      <c r="C18" s="3004"/>
      <c r="D18" s="3004"/>
      <c r="E18" s="3000" t="e">
        <f t="shared" si="0"/>
        <v>#DIV/0!</v>
      </c>
      <c r="F18" s="3000" t="e">
        <f t="shared" si="1"/>
        <v>#DIV/0!</v>
      </c>
      <c r="G18" s="3004"/>
      <c r="H18" s="3004"/>
      <c r="I18" s="3004"/>
    </row>
    <row r="19" spans="1:9" ht="16.5">
      <c r="A19" s="3003" t="s">
        <v>2859</v>
      </c>
      <c r="B19" s="3004"/>
      <c r="C19" s="3004"/>
      <c r="D19" s="3004"/>
      <c r="E19" s="3000" t="e">
        <f t="shared" si="0"/>
        <v>#DIV/0!</v>
      </c>
      <c r="F19" s="3000" t="e">
        <f t="shared" si="1"/>
        <v>#DIV/0!</v>
      </c>
      <c r="G19" s="3004"/>
      <c r="H19" s="3004"/>
      <c r="I19" s="3004"/>
    </row>
    <row r="20" spans="1:9" ht="16.5">
      <c r="A20" s="3003" t="s">
        <v>2860</v>
      </c>
      <c r="B20" s="3004"/>
      <c r="C20" s="3004"/>
      <c r="D20" s="3004"/>
      <c r="E20" s="3000" t="e">
        <f t="shared" si="0"/>
        <v>#DIV/0!</v>
      </c>
      <c r="F20" s="3000" t="e">
        <f t="shared" si="1"/>
        <v>#DIV/0!</v>
      </c>
      <c r="G20" s="3004"/>
      <c r="H20" s="3004"/>
      <c r="I20" s="3004"/>
    </row>
    <row r="21" spans="1:9" ht="16.5">
      <c r="A21" s="3003" t="s">
        <v>2861</v>
      </c>
      <c r="B21" s="3004"/>
      <c r="C21" s="3004"/>
      <c r="D21" s="3004"/>
      <c r="E21" s="3000" t="e">
        <f t="shared" si="0"/>
        <v>#DIV/0!</v>
      </c>
      <c r="F21" s="3000" t="e">
        <f t="shared" si="1"/>
        <v>#DIV/0!</v>
      </c>
      <c r="G21" s="3004"/>
      <c r="H21" s="3004"/>
      <c r="I21" s="3004"/>
    </row>
    <row r="22" spans="1:9" ht="16.5">
      <c r="A22" s="3003" t="s">
        <v>2862</v>
      </c>
      <c r="B22" s="3004"/>
      <c r="C22" s="3004"/>
      <c r="D22" s="3004"/>
      <c r="E22" s="3000" t="e">
        <f t="shared" si="0"/>
        <v>#DIV/0!</v>
      </c>
      <c r="F22" s="3000" t="e">
        <f t="shared" si="1"/>
        <v>#DIV/0!</v>
      </c>
      <c r="G22" s="3004"/>
      <c r="H22" s="3004"/>
      <c r="I22" s="3004"/>
    </row>
    <row r="23" spans="1:9" ht="16.5">
      <c r="A23" s="3003" t="s">
        <v>2863</v>
      </c>
      <c r="B23" s="3004"/>
      <c r="C23" s="3004"/>
      <c r="D23" s="3004"/>
      <c r="E23" s="2996" t="e">
        <f t="shared" si="0"/>
        <v>#DIV/0!</v>
      </c>
      <c r="F23" s="2996" t="e">
        <f t="shared" si="1"/>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2051</v>
      </c>
      <c r="B1" s="1761"/>
      <c r="C1" s="1789" t="s">
        <v>2052</v>
      </c>
      <c r="D1" s="1790"/>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61" t="str">
        <f>项目基本情况!K2</f>
        <v>北京市北京市丰台区南苑石榴庄0517-L02地块F1住宅混合公建用地出让国有建设用地使用权</v>
      </c>
      <c r="B2" s="3362"/>
      <c r="C2" s="3363"/>
      <c r="D2" s="3363"/>
      <c r="E2" s="3363"/>
      <c r="F2" s="3363"/>
      <c r="G2" s="3362"/>
      <c r="H2" s="3362"/>
      <c r="I2" s="3364"/>
      <c r="J2" s="2014"/>
      <c r="K2" s="2013"/>
      <c r="L2" s="2013"/>
      <c r="M2" s="2013"/>
      <c r="N2" s="2013"/>
      <c r="O2" s="2013"/>
      <c r="P2" s="2013"/>
      <c r="Q2" s="2013"/>
      <c r="R2" s="2013"/>
      <c r="S2" s="2013"/>
      <c r="T2" s="2013"/>
      <c r="U2" s="2013"/>
      <c r="V2" s="2013"/>
    </row>
    <row r="3" spans="1:22" ht="14.25">
      <c r="A3" s="3372" t="s">
        <v>298</v>
      </c>
      <c r="B3" s="3373"/>
      <c r="C3" s="3373"/>
      <c r="D3" s="3373"/>
      <c r="E3" s="3373"/>
      <c r="F3" s="3373"/>
      <c r="G3" s="3373"/>
      <c r="H3" s="3373"/>
      <c r="I3" s="3373"/>
      <c r="J3" s="2014"/>
      <c r="K3" s="2013"/>
      <c r="L3" s="2013"/>
      <c r="M3" s="2013"/>
      <c r="N3" s="2013"/>
      <c r="O3" s="2013"/>
      <c r="P3" s="2013"/>
      <c r="Q3" s="2013"/>
      <c r="R3" s="2013"/>
      <c r="S3" s="2013"/>
      <c r="T3" s="2013"/>
      <c r="U3" s="2013"/>
      <c r="V3" s="2013"/>
    </row>
    <row r="4" spans="1:22" ht="14.25">
      <c r="A4" s="258" t="s">
        <v>299</v>
      </c>
      <c r="B4" s="259" t="s">
        <v>300</v>
      </c>
      <c r="C4" s="260" t="s">
        <v>3167</v>
      </c>
      <c r="D4" s="260" t="s">
        <v>3168</v>
      </c>
      <c r="E4" s="3336" t="s">
        <v>301</v>
      </c>
      <c r="F4" s="3378"/>
      <c r="G4" s="3378"/>
      <c r="H4" s="3378"/>
      <c r="I4" s="3337"/>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65" t="s">
        <v>302</v>
      </c>
      <c r="B5" s="3366">
        <v>25</v>
      </c>
      <c r="C5" s="3374"/>
      <c r="D5" s="3377"/>
      <c r="E5" s="261" t="s">
        <v>303</v>
      </c>
      <c r="F5" s="262"/>
      <c r="G5" s="262"/>
      <c r="H5" s="262"/>
      <c r="I5" s="263"/>
      <c r="J5" s="2014"/>
      <c r="K5" s="2013"/>
      <c r="L5" s="2013"/>
      <c r="M5" s="2013"/>
      <c r="N5" s="2013"/>
      <c r="O5" s="2013"/>
      <c r="P5" s="2013"/>
      <c r="Q5" s="2013"/>
      <c r="R5" s="2013"/>
      <c r="S5" s="2013"/>
      <c r="T5" s="2013"/>
      <c r="U5" s="2013"/>
      <c r="V5" s="2013"/>
    </row>
    <row r="6" spans="1:22" ht="14.25">
      <c r="A6" s="3365"/>
      <c r="B6" s="3366"/>
      <c r="C6" s="3375"/>
      <c r="D6" s="3377"/>
      <c r="E6" s="261" t="s">
        <v>304</v>
      </c>
      <c r="F6" s="262"/>
      <c r="G6" s="262"/>
      <c r="H6" s="262"/>
      <c r="I6" s="263"/>
      <c r="J6" s="2014"/>
      <c r="K6" s="2013"/>
      <c r="L6" s="2013"/>
      <c r="M6" s="2013"/>
      <c r="N6" s="2013"/>
      <c r="O6" s="2013"/>
      <c r="P6" s="2013"/>
      <c r="Q6" s="2013"/>
      <c r="R6" s="2013"/>
      <c r="S6" s="2013"/>
      <c r="T6" s="2013"/>
      <c r="U6" s="2013"/>
      <c r="V6" s="2013"/>
    </row>
    <row r="7" spans="1:22" ht="14.25">
      <c r="A7" s="3365"/>
      <c r="B7" s="3366"/>
      <c r="C7" s="3376"/>
      <c r="D7" s="3377"/>
      <c r="E7" s="261" t="s">
        <v>305</v>
      </c>
      <c r="F7" s="262"/>
      <c r="G7" s="262"/>
      <c r="H7" s="262"/>
      <c r="I7" s="263"/>
      <c r="J7" s="2014"/>
      <c r="K7" s="2013"/>
      <c r="L7" s="2013"/>
      <c r="M7" s="2013"/>
      <c r="N7" s="2013"/>
      <c r="O7" s="2013"/>
      <c r="P7" s="2013"/>
      <c r="Q7" s="2013"/>
      <c r="R7" s="2013"/>
      <c r="S7" s="2013"/>
      <c r="T7" s="2013"/>
      <c r="U7" s="2013"/>
      <c r="V7" s="2013"/>
    </row>
    <row r="8" spans="1:22" ht="14.25">
      <c r="A8" s="3365" t="s">
        <v>306</v>
      </c>
      <c r="B8" s="3366">
        <v>15</v>
      </c>
      <c r="C8" s="3374"/>
      <c r="D8" s="3377"/>
      <c r="E8" s="261" t="s">
        <v>307</v>
      </c>
      <c r="F8" s="262"/>
      <c r="G8" s="262"/>
      <c r="H8" s="262"/>
      <c r="I8" s="263"/>
      <c r="J8" s="2014"/>
      <c r="K8" s="2013"/>
      <c r="L8" s="2013"/>
      <c r="M8" s="2013"/>
      <c r="N8" s="2013"/>
      <c r="O8" s="2013"/>
      <c r="P8" s="2013"/>
      <c r="Q8" s="2013"/>
      <c r="R8" s="2013"/>
      <c r="S8" s="2013"/>
      <c r="T8" s="2013"/>
      <c r="U8" s="2013"/>
      <c r="V8" s="2013"/>
    </row>
    <row r="9" spans="1:22" ht="14.25">
      <c r="A9" s="3365"/>
      <c r="B9" s="3366"/>
      <c r="C9" s="3376"/>
      <c r="D9" s="3377"/>
      <c r="E9" s="261" t="s">
        <v>308</v>
      </c>
      <c r="F9" s="262"/>
      <c r="G9" s="262"/>
      <c r="H9" s="262"/>
      <c r="I9" s="263"/>
      <c r="J9" s="2014"/>
      <c r="K9" s="2013"/>
      <c r="L9" s="2013"/>
      <c r="M9" s="2013"/>
      <c r="N9" s="2013"/>
      <c r="O9" s="2013"/>
      <c r="P9" s="2013"/>
      <c r="Q9" s="2013"/>
      <c r="R9" s="2013"/>
      <c r="S9" s="2013"/>
      <c r="T9" s="2013"/>
      <c r="U9" s="2013"/>
      <c r="V9" s="2013"/>
    </row>
    <row r="10" spans="1:22" ht="14.25">
      <c r="A10" s="3365" t="s">
        <v>309</v>
      </c>
      <c r="B10" s="3366">
        <v>15</v>
      </c>
      <c r="C10" s="3374"/>
      <c r="D10" s="3377"/>
      <c r="E10" s="261" t="s">
        <v>310</v>
      </c>
      <c r="F10" s="262"/>
      <c r="G10" s="262"/>
      <c r="H10" s="262"/>
      <c r="I10" s="263"/>
      <c r="J10" s="2014"/>
      <c r="K10" s="2013"/>
      <c r="L10" s="2013"/>
      <c r="M10" s="2013"/>
      <c r="N10" s="2013"/>
      <c r="O10" s="2013"/>
      <c r="P10" s="2013"/>
      <c r="Q10" s="2013"/>
      <c r="R10" s="2013"/>
      <c r="S10" s="2013"/>
      <c r="T10" s="2013"/>
      <c r="U10" s="2013"/>
      <c r="V10" s="2013"/>
    </row>
    <row r="11" spans="1:22" ht="14.25">
      <c r="A11" s="3365"/>
      <c r="B11" s="3366"/>
      <c r="C11" s="3376"/>
      <c r="D11" s="3377"/>
      <c r="E11" s="261" t="s">
        <v>311</v>
      </c>
      <c r="F11" s="262"/>
      <c r="G11" s="262"/>
      <c r="H11" s="262"/>
      <c r="I11" s="263"/>
      <c r="J11" s="2014"/>
      <c r="K11" s="2013"/>
      <c r="L11" s="2013"/>
      <c r="M11" s="2013"/>
      <c r="N11" s="2013"/>
      <c r="O11" s="2013"/>
      <c r="P11" s="2013"/>
      <c r="Q11" s="2013"/>
      <c r="R11" s="2013"/>
      <c r="S11" s="2013"/>
      <c r="T11" s="2013"/>
      <c r="U11" s="2013"/>
      <c r="V11" s="2013"/>
    </row>
    <row r="12" spans="1:22" ht="14.25">
      <c r="A12" s="3365" t="s">
        <v>312</v>
      </c>
      <c r="B12" s="3366">
        <v>15</v>
      </c>
      <c r="C12" s="3374"/>
      <c r="D12" s="3377"/>
      <c r="E12" s="261" t="s">
        <v>313</v>
      </c>
      <c r="F12" s="262"/>
      <c r="G12" s="262"/>
      <c r="H12" s="262"/>
      <c r="I12" s="263"/>
      <c r="J12" s="2014"/>
      <c r="K12" s="2013"/>
      <c r="L12" s="2013"/>
      <c r="M12" s="2013"/>
      <c r="N12" s="2013"/>
      <c r="O12" s="2013"/>
      <c r="P12" s="2013"/>
      <c r="Q12" s="2013"/>
      <c r="R12" s="2013"/>
      <c r="S12" s="2013"/>
      <c r="T12" s="2013"/>
      <c r="U12" s="2013"/>
      <c r="V12" s="2013"/>
    </row>
    <row r="13" spans="1:22" ht="14.25">
      <c r="A13" s="3365"/>
      <c r="B13" s="3366"/>
      <c r="C13" s="3376"/>
      <c r="D13" s="3377"/>
      <c r="E13" s="261" t="s">
        <v>314</v>
      </c>
      <c r="F13" s="262"/>
      <c r="G13" s="262"/>
      <c r="H13" s="262"/>
      <c r="I13" s="263"/>
      <c r="J13" s="2014"/>
      <c r="K13" s="2013"/>
      <c r="L13" s="2013"/>
      <c r="M13" s="2013"/>
      <c r="N13" s="2013"/>
      <c r="O13" s="2013"/>
      <c r="P13" s="2013"/>
      <c r="Q13" s="2013"/>
      <c r="R13" s="2013"/>
      <c r="S13" s="2013"/>
      <c r="T13" s="2013"/>
      <c r="U13" s="2013"/>
      <c r="V13" s="2013"/>
    </row>
    <row r="14" spans="1:22" ht="14.25">
      <c r="A14" s="3365" t="s">
        <v>315</v>
      </c>
      <c r="B14" s="3366">
        <v>30</v>
      </c>
      <c r="C14" s="3374">
        <v>5</v>
      </c>
      <c r="D14" s="3377">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65"/>
      <c r="B15" s="3366"/>
      <c r="C15" s="3375"/>
      <c r="D15" s="3377"/>
      <c r="E15" s="261" t="s">
        <v>317</v>
      </c>
      <c r="F15" s="262"/>
      <c r="G15" s="262"/>
      <c r="H15" s="262"/>
      <c r="I15" s="263"/>
      <c r="J15" s="2014"/>
      <c r="K15" s="2013"/>
      <c r="L15" s="2013"/>
      <c r="M15" s="2013"/>
      <c r="N15" s="2013"/>
      <c r="O15" s="2013"/>
      <c r="P15" s="2013"/>
      <c r="Q15" s="2013"/>
      <c r="R15" s="2013"/>
      <c r="S15" s="2013"/>
      <c r="T15" s="2013"/>
      <c r="U15" s="2013"/>
      <c r="V15" s="2013"/>
    </row>
    <row r="16" spans="1:22" ht="14.25">
      <c r="A16" s="3365"/>
      <c r="B16" s="3366"/>
      <c r="C16" s="3376"/>
      <c r="D16" s="3377"/>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288241</v>
      </c>
      <c r="D19" s="271">
        <f ca="1">SUMIF(INDIRECT("'"&amp;D4&amp;"'"&amp;"!A:A"),结果表!B19,INDIRECT("'"&amp;D4&amp;"'"&amp;"!B:B"))</f>
        <v>304012</v>
      </c>
      <c r="E19" s="268" t="s">
        <v>323</v>
      </c>
      <c r="F19" s="269" t="s">
        <v>322</v>
      </c>
      <c r="G19" s="272">
        <f ca="1">ROUND(C19*$C$18+D19*$D$18,0)</f>
        <v>296127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45702</v>
      </c>
      <c r="D20" s="277">
        <f ca="1">SUMIF(INDIRECT("'"&amp;D4&amp;"'"&amp;"!A:A"),结果表!B20,INDIRECT("'"&amp;D4&amp;"'"&amp;"!B:B"))</f>
        <v>48202</v>
      </c>
      <c r="E20" s="274"/>
      <c r="F20" s="275" t="s">
        <v>325</v>
      </c>
      <c r="G20" s="278">
        <f ca="1">ROUND(C20*$C$18+D20*$D$18,0)</f>
        <v>46952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137105</v>
      </c>
      <c r="D21" s="151">
        <f ca="1">SUMIF(INDIRECT("'"&amp;D4&amp;"'"&amp;"!A:A"),结果表!B21,INDIRECT("'"&amp;D4&amp;"'"&amp;"!B:B"))</f>
        <v>144606</v>
      </c>
      <c r="E21" s="274"/>
      <c r="F21" s="280" t="s">
        <v>327</v>
      </c>
      <c r="G21" s="282">
        <f ca="1">ROUND(C21*$C$18+D21*$D$18,0)</f>
        <v>140856</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5.4714631159342275E-2</v>
      </c>
      <c r="E22" s="284"/>
      <c r="F22" s="285"/>
      <c r="G22" s="286">
        <f ca="1">ROUND(G19/('数据-汇总表'!D3/666.67),0)</f>
        <v>9390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3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80"/>
      <c r="B25" s="1317" t="s">
        <v>331</v>
      </c>
      <c r="C25" s="290">
        <f>IF(B30=0,0,C30)</f>
        <v>0</v>
      </c>
      <c r="D25" s="291"/>
      <c r="E25" s="311"/>
      <c r="F25" s="311"/>
      <c r="G25" s="311"/>
      <c r="H25" s="311"/>
      <c r="I25" s="311"/>
      <c r="J25" s="2013"/>
      <c r="K25" s="1251" t="str">
        <f ca="1">项目基本情况!B16&amp;"国有建设用地使用权价格："&amp;O38&amp;"万元"</f>
        <v>出让国有建设用地使用权价格：296127万元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大写金额：人民币贰拾玖亿陆仟壹佰贰拾柒万元整</v>
      </c>
      <c r="L26" s="1248"/>
      <c r="M26" s="1248"/>
      <c r="N26" s="1248"/>
      <c r="O26" s="1247"/>
      <c r="P26" s="2013"/>
      <c r="Q26" s="2013"/>
      <c r="R26" s="2013"/>
      <c r="S26" s="2013"/>
      <c r="T26" s="2013"/>
      <c r="U26" s="2013"/>
      <c r="V26" s="2013"/>
      <c r="W26" s="292"/>
      <c r="X26" s="292"/>
      <c r="Y26" s="292"/>
      <c r="Z26" s="292"/>
    </row>
    <row r="27" spans="1:26" ht="18">
      <c r="A27" s="293">
        <f ca="1">G19/面积表!B14-1</f>
        <v>5.0095744680850984E-2</v>
      </c>
      <c r="B27" s="294"/>
      <c r="C27" s="294"/>
      <c r="D27" s="295"/>
      <c r="E27" s="311"/>
      <c r="F27" s="311"/>
      <c r="G27" s="311"/>
      <c r="H27" s="311"/>
      <c r="I27" s="311"/>
      <c r="J27" s="2013"/>
      <c r="K27" s="1254" t="str">
        <f ca="1">"单位面积地价："&amp;M38&amp;"元/平方米"</f>
        <v>单位面积地价：140856元/平方米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楼面地价：46952元/平方米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抵押价格：296127万元</v>
      </c>
      <c r="L29" s="1248"/>
      <c r="M29" s="1248"/>
      <c r="N29" s="1248"/>
      <c r="O29" s="1247"/>
      <c r="P29" s="2013"/>
      <c r="V29" s="2013"/>
    </row>
    <row r="30" spans="1:26" ht="18.75" thickBot="1">
      <c r="A30" s="3078" t="s">
        <v>336</v>
      </c>
      <c r="B30" s="309"/>
      <c r="C30" s="309"/>
      <c r="D30" s="310"/>
      <c r="E30" s="3079" t="s">
        <v>2950</v>
      </c>
      <c r="F30" s="311"/>
      <c r="G30" s="311"/>
      <c r="H30" s="311"/>
      <c r="I30" s="311"/>
      <c r="J30" s="2013"/>
      <c r="K30" s="1254" t="str">
        <f ca="1">IF(K29="——","——","大写金额：人民币"&amp;NUMBERSTRING(INT(O39*10000),2)&amp;"元整")</f>
        <v>大写金额：人民币贰拾玖亿陆仟壹佰贰拾柒万元整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1688</v>
      </c>
      <c r="C32" s="1379">
        <f ca="1">G19-C24</f>
        <v>296127</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1690</v>
      </c>
      <c r="C33" s="264">
        <f ca="1">ROUND(C32*10000/'数据-汇总表'!E3,0)</f>
        <v>46952</v>
      </c>
      <c r="D33" s="1382" t="s">
        <v>1691</v>
      </c>
      <c r="E33" s="3338"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3" t="s">
        <v>1692</v>
      </c>
      <c r="C34" s="264">
        <f ca="1">ROUND(C32*10000/'数据-汇总表'!D3,0)</f>
        <v>140856</v>
      </c>
      <c r="D34" s="1384" t="s">
        <v>1691</v>
      </c>
      <c r="E34" s="3339"/>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9390</v>
      </c>
      <c r="D35" s="1387" t="s">
        <v>1693</v>
      </c>
      <c r="E35" s="3340"/>
      <c r="F35" s="301" t="s">
        <v>342</v>
      </c>
      <c r="G35" s="982"/>
      <c r="H35" s="981" t="s">
        <v>343</v>
      </c>
      <c r="I35" s="311"/>
      <c r="J35" s="2013"/>
      <c r="K35" s="3344" t="s">
        <v>350</v>
      </c>
      <c r="L35" s="3344" t="s">
        <v>351</v>
      </c>
      <c r="M35" s="1260" t="s">
        <v>352</v>
      </c>
      <c r="N35" s="3344" t="s">
        <v>353</v>
      </c>
      <c r="O35" s="3344" t="s">
        <v>354</v>
      </c>
      <c r="P35" s="2013"/>
      <c r="V35" s="2013"/>
    </row>
    <row r="36" spans="1:26" ht="16.5" customHeight="1">
      <c r="A36" s="303" t="s">
        <v>344</v>
      </c>
      <c r="B36" s="304" t="s">
        <v>333</v>
      </c>
      <c r="C36" s="305" t="s">
        <v>345</v>
      </c>
      <c r="D36" s="305" t="s">
        <v>346</v>
      </c>
      <c r="E36" s="306" t="s">
        <v>347</v>
      </c>
      <c r="F36" s="311"/>
      <c r="G36" s="311"/>
      <c r="H36" s="311"/>
      <c r="I36" s="311"/>
      <c r="J36" s="2015"/>
      <c r="K36" s="3345"/>
      <c r="L36" s="3345"/>
      <c r="M36" s="1262" t="s">
        <v>355</v>
      </c>
      <c r="N36" s="3345"/>
      <c r="O36" s="3345"/>
      <c r="P36" s="2013"/>
      <c r="V36" s="2013"/>
    </row>
    <row r="37" spans="1:26" ht="16.5" customHeight="1" thickBot="1">
      <c r="A37" s="1256" t="s">
        <v>348</v>
      </c>
      <c r="B37" s="307"/>
      <c r="C37" s="294"/>
      <c r="D37" s="294"/>
      <c r="E37" s="295"/>
      <c r="F37" s="311"/>
      <c r="G37" s="311"/>
      <c r="H37" s="311"/>
      <c r="I37" s="311"/>
      <c r="J37" s="2015"/>
      <c r="K37" s="3346"/>
      <c r="L37" s="3346"/>
      <c r="M37" s="1263"/>
      <c r="N37" s="3346"/>
      <c r="O37" s="3346"/>
      <c r="P37" s="2013"/>
      <c r="V37" s="2013"/>
    </row>
    <row r="38" spans="1:26" ht="16.5" customHeight="1" thickBot="1">
      <c r="A38" s="1256" t="s">
        <v>349</v>
      </c>
      <c r="B38" s="307"/>
      <c r="C38" s="294"/>
      <c r="D38" s="294"/>
      <c r="E38" s="295"/>
      <c r="F38" s="311"/>
      <c r="G38" s="311"/>
      <c r="H38" s="311"/>
      <c r="I38" s="311"/>
      <c r="J38" s="2015"/>
      <c r="K38" s="1264">
        <f>'数据-汇总表'!D3</f>
        <v>21023.4</v>
      </c>
      <c r="L38" s="1265">
        <f>'数据-汇总表'!E3</f>
        <v>63070</v>
      </c>
      <c r="M38" s="1265">
        <f ca="1">C34</f>
        <v>140856</v>
      </c>
      <c r="N38" s="1265">
        <f ca="1">C33</f>
        <v>46952</v>
      </c>
      <c r="O38" s="1266">
        <f ca="1">C32</f>
        <v>296127</v>
      </c>
      <c r="P38" s="2013"/>
      <c r="V38" s="2013"/>
    </row>
    <row r="39" spans="1:26" ht="16.5" customHeight="1" thickBot="1">
      <c r="A39" s="1261"/>
      <c r="B39" s="308"/>
      <c r="C39" s="309"/>
      <c r="D39" s="309"/>
      <c r="E39" s="310"/>
      <c r="F39" s="311"/>
      <c r="G39" s="311"/>
      <c r="H39" s="311"/>
      <c r="I39" s="311"/>
      <c r="J39" s="2015"/>
      <c r="K39" s="3321" t="str">
        <f>MID(A44,3,LEN(A44)-2)</f>
        <v>抵押价格</v>
      </c>
      <c r="L39" s="3322"/>
      <c r="M39" s="3322"/>
      <c r="N39" s="3323"/>
      <c r="O39" s="1389">
        <f ca="1">C44</f>
        <v>296127</v>
      </c>
      <c r="P39" s="2013"/>
      <c r="V39" s="2013"/>
    </row>
    <row r="40" spans="1:26" ht="19.5" thickBot="1">
      <c r="A40" s="104" t="s">
        <v>873</v>
      </c>
      <c r="B40" s="311"/>
      <c r="C40" s="311"/>
      <c r="D40" s="311"/>
      <c r="E40" s="311"/>
      <c r="F40" s="311"/>
      <c r="G40" s="311"/>
      <c r="H40" s="311"/>
      <c r="I40" s="311"/>
      <c r="J40" s="2015"/>
      <c r="K40" s="3321" t="str">
        <f>MID(A45,3,LEN(A45)-2)</f>
        <v/>
      </c>
      <c r="L40" s="3322"/>
      <c r="M40" s="3322"/>
      <c r="N40" s="3323"/>
      <c r="O40" s="1389" t="str">
        <f>C45</f>
        <v>——</v>
      </c>
      <c r="P40" s="2013"/>
      <c r="V40" s="2013"/>
    </row>
    <row r="41" spans="1:26" ht="16.5" thickBot="1">
      <c r="A41" s="312" t="s">
        <v>356</v>
      </c>
      <c r="B41" s="313"/>
      <c r="C41" s="314" t="s">
        <v>357</v>
      </c>
      <c r="D41" s="315" t="s">
        <v>358</v>
      </c>
      <c r="E41" s="315" t="s">
        <v>359</v>
      </c>
      <c r="F41" s="316" t="s">
        <v>360</v>
      </c>
      <c r="G41" s="311"/>
      <c r="H41" s="311"/>
      <c r="I41" s="311"/>
      <c r="J41" s="2015"/>
      <c r="K41" s="3321" t="str">
        <f>MID(A46,3,LEN(A46)-2)</f>
        <v/>
      </c>
      <c r="L41" s="3322"/>
      <c r="M41" s="3322"/>
      <c r="N41" s="3323"/>
      <c r="O41" s="1389" t="str">
        <f>C46</f>
        <v>——</v>
      </c>
      <c r="P41" s="2013"/>
      <c r="V41" s="2013"/>
    </row>
    <row r="42" spans="1:26" ht="29.25">
      <c r="A42" s="3381" t="s">
        <v>2063</v>
      </c>
      <c r="B42" s="3382"/>
      <c r="C42" s="264">
        <f ca="1">C32</f>
        <v>296127</v>
      </c>
      <c r="D42" s="317">
        <f ca="1">C33</f>
        <v>46952</v>
      </c>
      <c r="E42" s="317">
        <f ca="1">C34</f>
        <v>140856</v>
      </c>
      <c r="F42" s="318">
        <f ca="1">C35</f>
        <v>9390</v>
      </c>
      <c r="G42" s="311"/>
      <c r="H42" s="311"/>
      <c r="I42" s="319"/>
      <c r="J42" s="2015"/>
      <c r="K42" s="1267" t="s">
        <v>361</v>
      </c>
      <c r="L42" s="2032" t="s">
        <v>362</v>
      </c>
      <c r="M42" s="1268" t="s">
        <v>363</v>
      </c>
      <c r="N42" s="2033" t="s">
        <v>364</v>
      </c>
      <c r="O42" s="2034" t="s">
        <v>365</v>
      </c>
      <c r="P42" s="2013"/>
      <c r="V42" s="2013"/>
    </row>
    <row r="43" spans="1:26" ht="30">
      <c r="A43" s="3391" t="s">
        <v>2724</v>
      </c>
      <c r="B43" s="3392"/>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288241</v>
      </c>
      <c r="M43" s="1271">
        <f>C18</f>
        <v>0.5</v>
      </c>
      <c r="N43" s="1272">
        <f ca="1">IF(N42="测算结果/万元",G19,G20)</f>
        <v>296127</v>
      </c>
      <c r="O43" s="1273">
        <f ca="1">IF(O42="最终结果/万元",C32,C33)</f>
        <v>296127</v>
      </c>
      <c r="P43" s="2013"/>
      <c r="V43" s="2013"/>
    </row>
    <row r="44" spans="1:26" ht="30.75" thickBot="1">
      <c r="A44" s="3381" t="str">
        <f>IF(OR(项目基本情况!E8="抵押价格",项目基本情况!E8="已注销及未注销"),"3.抵押价格","——")</f>
        <v>3.抵押价格</v>
      </c>
      <c r="B44" s="3382"/>
      <c r="C44" s="264">
        <f ca="1">IF(A44="——","——",C42-C43)</f>
        <v>296127</v>
      </c>
      <c r="D44" s="317">
        <f ca="1">ROUND(C44*10000/'数据-汇总表'!E3,0)</f>
        <v>46952</v>
      </c>
      <c r="E44" s="317">
        <f ca="1">ROUND(C44*10000/'数据-汇总表'!D3,0)</f>
        <v>140856</v>
      </c>
      <c r="F44" s="318">
        <f ca="1">ROUND(C44/('数据-汇总表'!D3/666.67),0)</f>
        <v>9390</v>
      </c>
      <c r="G44" s="311"/>
      <c r="H44" s="311"/>
      <c r="I44" s="319"/>
      <c r="J44" s="2015"/>
      <c r="K44" s="1274" t="str">
        <f>D4</f>
        <v>剩余法-待开发</v>
      </c>
      <c r="L44" s="1275">
        <f ca="1">IF(L42="估价结果/万元",D19,D20)</f>
        <v>304012</v>
      </c>
      <c r="M44" s="1276">
        <f>D18</f>
        <v>0.5</v>
      </c>
      <c r="N44" s="1277"/>
      <c r="O44" s="1278"/>
      <c r="P44" s="2013"/>
      <c r="V44" s="2013"/>
    </row>
    <row r="45" spans="1:26" ht="15">
      <c r="A45" s="3386" t="str">
        <f>IF(项目基本情况!E8="已注销及未注销","4.抵押担保权已注销时的抵押价格",IF(项目基本情况!E8="已注销","3.抵押担保权已注销时的抵押价格","——"))</f>
        <v>——</v>
      </c>
      <c r="B45" s="338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83" t="str">
        <f>IF(项目基本情况!E9="抵押净值",IF(A45="——","4.抵押净值","5.抵押净值"),"——")</f>
        <v>——</v>
      </c>
      <c r="B46" s="338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49" t="s">
        <v>374</v>
      </c>
      <c r="B63" s="3350"/>
      <c r="C63" s="3351"/>
      <c r="D63" s="341">
        <f ca="1">ROUND(C42*F63,0)</f>
        <v>177676</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88" t="s">
        <v>378</v>
      </c>
      <c r="B64" s="3389"/>
      <c r="C64" s="3389"/>
      <c r="D64" s="3389"/>
      <c r="E64" s="3389"/>
      <c r="F64" s="3389"/>
      <c r="G64" s="3390"/>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85" t="s">
        <v>386</v>
      </c>
      <c r="B66" s="3356"/>
      <c r="C66" s="3356"/>
      <c r="D66" s="261">
        <f ca="1">IF(H66="情况1",0,IF(H66="情况2",D70,IF(H66="情况3",D71,IF(H66="情况4",D72))))</f>
        <v>9476</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25" t="s">
        <v>385</v>
      </c>
      <c r="M66" s="3326"/>
      <c r="N66" s="2422"/>
      <c r="O66" s="2423"/>
      <c r="P66" s="2424"/>
      <c r="Q66" s="2013"/>
      <c r="R66" s="2013"/>
      <c r="S66" s="2013"/>
      <c r="T66" s="2013"/>
      <c r="U66" s="2013"/>
      <c r="V66" s="2013"/>
    </row>
    <row r="67" spans="1:22" ht="25.5" customHeight="1">
      <c r="A67" s="352" t="s">
        <v>390</v>
      </c>
      <c r="B67" s="3368" t="s">
        <v>391</v>
      </c>
      <c r="C67" s="3368"/>
      <c r="D67" s="353">
        <v>0</v>
      </c>
      <c r="E67" s="41" t="s">
        <v>392</v>
      </c>
      <c r="F67" s="62" t="s">
        <v>21</v>
      </c>
      <c r="G67" s="3352"/>
      <c r="H67" s="311"/>
      <c r="I67" s="1288"/>
      <c r="J67" s="2020"/>
      <c r="K67" s="1961">
        <v>2</v>
      </c>
      <c r="L67" s="3324" t="s">
        <v>389</v>
      </c>
      <c r="M67" s="3324"/>
      <c r="N67" s="1321">
        <f>'数据-取费表'!B2</f>
        <v>43910</v>
      </c>
      <c r="O67" s="1321"/>
      <c r="P67" s="1321"/>
      <c r="Q67" s="2013"/>
      <c r="R67" s="2013"/>
      <c r="S67" s="2013"/>
      <c r="T67" s="2013"/>
      <c r="U67" s="2013"/>
      <c r="V67" s="2013"/>
    </row>
    <row r="68" spans="1:22" ht="25.5" customHeight="1">
      <c r="A68" s="354"/>
      <c r="B68" s="3368" t="s">
        <v>394</v>
      </c>
      <c r="C68" s="3368"/>
      <c r="D68" s="355"/>
      <c r="E68" s="77"/>
      <c r="F68" s="356"/>
      <c r="G68" s="3353"/>
      <c r="H68" s="311"/>
      <c r="I68" s="1288"/>
      <c r="J68" s="2020"/>
      <c r="K68" s="1961">
        <v>3</v>
      </c>
      <c r="L68" s="3324" t="s">
        <v>393</v>
      </c>
      <c r="M68" s="3324"/>
      <c r="N68" s="1289">
        <f ca="1">C42</f>
        <v>296127</v>
      </c>
      <c r="O68" s="1289"/>
      <c r="P68" s="1289"/>
      <c r="Q68" s="2013"/>
      <c r="R68" s="2013"/>
      <c r="S68" s="2013"/>
      <c r="T68" s="2013"/>
      <c r="U68" s="2013"/>
      <c r="V68" s="2013"/>
    </row>
    <row r="69" spans="1:22" ht="12" customHeight="1">
      <c r="A69" s="357"/>
      <c r="B69" s="3368" t="s">
        <v>395</v>
      </c>
      <c r="C69" s="3368"/>
      <c r="D69" s="358"/>
      <c r="E69" s="73"/>
      <c r="F69" s="356"/>
      <c r="G69" s="3354"/>
      <c r="H69" s="311"/>
      <c r="I69" s="1288"/>
      <c r="J69" s="2020"/>
      <c r="K69" s="1290">
        <v>4</v>
      </c>
      <c r="L69" s="3330" t="s">
        <v>2877</v>
      </c>
      <c r="M69" s="3331"/>
      <c r="N69" s="1291">
        <f ca="1">C44</f>
        <v>296127</v>
      </c>
      <c r="O69" s="1291"/>
      <c r="P69" s="1291"/>
      <c r="Q69" s="2013"/>
      <c r="R69" s="2013"/>
      <c r="S69" s="2013"/>
      <c r="T69" s="2013"/>
      <c r="U69" s="2013"/>
      <c r="V69" s="2013"/>
    </row>
    <row r="70" spans="1:22" ht="24" customHeight="1">
      <c r="A70" s="359" t="s">
        <v>396</v>
      </c>
      <c r="B70" s="3368" t="s">
        <v>397</v>
      </c>
      <c r="C70" s="3368"/>
      <c r="D70" s="358">
        <f ca="1">ROUND(D63*'数据-取费表'!B41/(1+'数据-取费表'!C42),0)</f>
        <v>9476</v>
      </c>
      <c r="E70" s="17" t="s">
        <v>398</v>
      </c>
      <c r="F70" s="360">
        <f>'数据-取费表'!B41</f>
        <v>5.6000000000000001E-2</v>
      </c>
      <c r="G70" s="361"/>
      <c r="H70" s="311"/>
      <c r="I70" s="1288"/>
      <c r="J70" s="2020"/>
      <c r="K70" s="3013"/>
      <c r="L70" s="3014"/>
      <c r="M70" s="3014"/>
      <c r="N70" s="3015" t="s">
        <v>2882</v>
      </c>
      <c r="O70" s="3014"/>
      <c r="P70" s="3016"/>
      <c r="Q70" s="2013"/>
      <c r="R70" s="2013"/>
      <c r="S70" s="2013"/>
      <c r="T70" s="2013"/>
      <c r="U70" s="2013"/>
      <c r="V70" s="2013"/>
    </row>
    <row r="71" spans="1:22" ht="12" customHeight="1">
      <c r="A71" s="359" t="s">
        <v>404</v>
      </c>
      <c r="B71" s="3367" t="s">
        <v>405</v>
      </c>
      <c r="C71" s="3379"/>
      <c r="D71" s="358">
        <f ca="1">ROUND(D63*'数据-取费表'!B41/(1+'数据-取费表'!C42),0)</f>
        <v>9476</v>
      </c>
      <c r="E71" s="17" t="s">
        <v>398</v>
      </c>
      <c r="F71" s="360">
        <f>'数据-取费表'!B41</f>
        <v>5.6000000000000001E-2</v>
      </c>
      <c r="G71" s="361"/>
      <c r="H71" s="311"/>
      <c r="I71" s="1288"/>
      <c r="J71" s="2020"/>
      <c r="K71" s="3012" t="s">
        <v>399</v>
      </c>
      <c r="L71" s="3332" t="s">
        <v>400</v>
      </c>
      <c r="M71" s="3332"/>
      <c r="N71" s="3012" t="s">
        <v>401</v>
      </c>
      <c r="O71" s="3012" t="s">
        <v>402</v>
      </c>
      <c r="P71" s="3012" t="s">
        <v>403</v>
      </c>
      <c r="Q71" s="2013"/>
      <c r="R71" s="2013"/>
      <c r="S71" s="2013"/>
      <c r="T71" s="2013"/>
      <c r="U71" s="2013"/>
      <c r="V71" s="2013"/>
    </row>
    <row r="72" spans="1:22" ht="12" customHeight="1">
      <c r="A72" s="359" t="s">
        <v>407</v>
      </c>
      <c r="B72" s="3367" t="s">
        <v>408</v>
      </c>
      <c r="C72" s="3379"/>
      <c r="D72" s="358">
        <f ca="1">C86</f>
        <v>9364</v>
      </c>
      <c r="E72" s="73" t="s">
        <v>409</v>
      </c>
      <c r="F72" s="360">
        <f>'数据-取费表'!B41</f>
        <v>5.6000000000000001E-2</v>
      </c>
      <c r="G72" s="361"/>
      <c r="H72" s="1294"/>
      <c r="I72" s="1288"/>
      <c r="J72" s="2020"/>
      <c r="K72" s="1961">
        <v>1</v>
      </c>
      <c r="L72" s="3329" t="s">
        <v>406</v>
      </c>
      <c r="M72" s="3329"/>
      <c r="N72" s="1292">
        <f ca="1">D66</f>
        <v>9476</v>
      </c>
      <c r="O72" s="1844" t="str">
        <f>E66</f>
        <v>销售额×税（费）率</v>
      </c>
      <c r="P72" s="1293">
        <f>F66</f>
        <v>5.6000000000000001E-2</v>
      </c>
      <c r="Q72" s="2013"/>
      <c r="R72" s="2013"/>
      <c r="S72" s="2013"/>
      <c r="T72" s="2013"/>
      <c r="U72" s="2013"/>
      <c r="V72" s="2013"/>
    </row>
    <row r="73" spans="1:22" ht="24" customHeight="1">
      <c r="A73" s="3355" t="s">
        <v>411</v>
      </c>
      <c r="B73" s="3356"/>
      <c r="C73" s="3356"/>
      <c r="D73" s="362">
        <f>IF(H73="个人住宅",0,ROUND(D63*I73,0))</f>
        <v>0</v>
      </c>
      <c r="E73" s="17" t="s">
        <v>412</v>
      </c>
      <c r="F73" s="360" t="str">
        <f>IF(H73="正常",I73,"免征")</f>
        <v>免征</v>
      </c>
      <c r="G73" s="361"/>
      <c r="H73" s="191" t="s">
        <v>2451</v>
      </c>
      <c r="I73" s="360">
        <f>'数据-取费表'!B49</f>
        <v>5.0000000000000001E-4</v>
      </c>
      <c r="J73" s="2020"/>
      <c r="K73" s="1961">
        <v>2</v>
      </c>
      <c r="L73" s="3329" t="s">
        <v>410</v>
      </c>
      <c r="M73" s="3329"/>
      <c r="N73" s="1292">
        <f t="shared" ref="N73:P74" si="0">D73</f>
        <v>0</v>
      </c>
      <c r="O73" s="1844" t="str">
        <f t="shared" si="0"/>
        <v>销售额×税（费）率</v>
      </c>
      <c r="P73" s="1293" t="str">
        <f t="shared" si="0"/>
        <v>免征</v>
      </c>
      <c r="Q73" s="2013"/>
      <c r="R73" s="2013"/>
      <c r="S73" s="2013"/>
      <c r="T73" s="2013"/>
      <c r="U73" s="2013"/>
      <c r="V73" s="2013"/>
    </row>
    <row r="74" spans="1:22" ht="24.75">
      <c r="A74" s="3355" t="s">
        <v>415</v>
      </c>
      <c r="B74" s="3356"/>
      <c r="C74" s="3356"/>
      <c r="D74" s="362">
        <f ca="1">IF(H74="个人住宅",D75,D76)</f>
        <v>99909</v>
      </c>
      <c r="E74" s="17" t="s">
        <v>416</v>
      </c>
      <c r="F74" s="360" t="str">
        <f>IF(H74="正常",F76,"免征")</f>
        <v>——</v>
      </c>
      <c r="G74" s="983" t="s">
        <v>417</v>
      </c>
      <c r="H74" s="363" t="s">
        <v>413</v>
      </c>
      <c r="I74" s="42"/>
      <c r="J74" s="2020"/>
      <c r="K74" s="1961">
        <v>3</v>
      </c>
      <c r="L74" s="3329" t="s">
        <v>414</v>
      </c>
      <c r="M74" s="3329"/>
      <c r="N74" s="1292">
        <f t="shared" ca="1" si="0"/>
        <v>99909</v>
      </c>
      <c r="O74" s="1844" t="str">
        <f t="shared" si="0"/>
        <v>增值额×税（费）率</v>
      </c>
      <c r="P74" s="1295" t="str">
        <f t="shared" si="0"/>
        <v>——</v>
      </c>
      <c r="Q74" s="2013"/>
      <c r="R74" s="2013"/>
      <c r="S74" s="2013"/>
      <c r="T74" s="2013"/>
      <c r="U74" s="2013"/>
      <c r="V74" s="2013"/>
    </row>
    <row r="75" spans="1:22" ht="24">
      <c r="A75" s="359" t="s">
        <v>418</v>
      </c>
      <c r="B75" s="3336" t="s">
        <v>419</v>
      </c>
      <c r="C75" s="3337"/>
      <c r="D75" s="364">
        <v>0</v>
      </c>
      <c r="E75" s="41" t="s">
        <v>420</v>
      </c>
      <c r="F75" s="365"/>
      <c r="G75" s="361"/>
      <c r="H75" s="42"/>
      <c r="I75" s="42"/>
      <c r="J75" s="2020"/>
      <c r="K75" s="3005">
        <f>IF(H77="非个人房产","",4)</f>
        <v>4</v>
      </c>
      <c r="L75" s="3329" t="str">
        <f>IF(H77="非个人房产","——","个人所得税")</f>
        <v>个人所得税</v>
      </c>
      <c r="M75" s="3329"/>
      <c r="N75" s="1296">
        <f ca="1">D77</f>
        <v>1777</v>
      </c>
      <c r="O75" s="1857" t="str">
        <f>E77</f>
        <v>销售额×税（费）率</v>
      </c>
      <c r="P75" s="1297">
        <f>F77</f>
        <v>0.01</v>
      </c>
      <c r="Q75" s="2013"/>
      <c r="R75" s="2013"/>
      <c r="S75" s="2013"/>
      <c r="T75" s="2013"/>
      <c r="U75" s="2013"/>
      <c r="V75" s="2013"/>
    </row>
    <row r="76" spans="1:22" ht="24.75">
      <c r="A76" s="359" t="s">
        <v>396</v>
      </c>
      <c r="B76" s="3336" t="s">
        <v>422</v>
      </c>
      <c r="C76" s="3378"/>
      <c r="D76" s="362">
        <f ca="1">IF(H76="转让取得",C99,C115)</f>
        <v>99909</v>
      </c>
      <c r="E76" s="17" t="s">
        <v>423</v>
      </c>
      <c r="F76" s="53" t="s">
        <v>21</v>
      </c>
      <c r="G76" s="361"/>
      <c r="H76" s="363" t="s">
        <v>424</v>
      </c>
      <c r="I76" s="42"/>
      <c r="J76" s="2020"/>
      <c r="K76" s="3005" t="str">
        <f>IF(项目基本情况!K6="上海银行",IF(K75="",4,K75+1),"")</f>
        <v/>
      </c>
      <c r="L76" s="3317" t="str">
        <f>IF(项目基本情况!K6="上海银行","其他处置费用","")</f>
        <v/>
      </c>
      <c r="M76" s="3318"/>
      <c r="N76" s="1292" t="str">
        <f>IF(项目基本情况!K6="上海银行",N89,"")</f>
        <v/>
      </c>
      <c r="O76" s="3319" t="str">
        <f>IF(项目基本情况!K6="上海银行","包含处置中涉及的律师、诉讼、拍卖、评估等费用","")</f>
        <v/>
      </c>
      <c r="P76" s="3320"/>
      <c r="Q76" s="2013"/>
      <c r="R76" s="2013"/>
      <c r="S76" s="2013"/>
      <c r="T76" s="2013"/>
      <c r="U76" s="2013"/>
      <c r="V76" s="2013"/>
    </row>
    <row r="77" spans="1:22" ht="26.25" thickBot="1">
      <c r="A77" s="3347" t="s">
        <v>426</v>
      </c>
      <c r="B77" s="3348"/>
      <c r="C77" s="3348"/>
      <c r="D77" s="366">
        <f ca="1">IF(H77="非个人房产","——",IF(H77="个人住宅",0,ROUND(D63*I77,0)))</f>
        <v>1777</v>
      </c>
      <c r="E77" s="367" t="str">
        <f>IF(H77="非个人房产","——","销售额×税（费）率")</f>
        <v>销售额×税（费）率</v>
      </c>
      <c r="F77" s="368">
        <f>IF(H77="非个人房产","——",IF(H77="个人住宅","免征",I77))</f>
        <v>0.01</v>
      </c>
      <c r="G77" s="984" t="s">
        <v>417</v>
      </c>
      <c r="H77" s="363" t="s">
        <v>2878</v>
      </c>
      <c r="I77" s="369">
        <v>0.01</v>
      </c>
      <c r="J77" s="2020"/>
      <c r="K77" s="3343">
        <f>IF(AND(K75="",K76=""),4,IF(项目基本情况!K6="上海银行",K76+1,K75+1))</f>
        <v>5</v>
      </c>
      <c r="L77" s="3329" t="s">
        <v>2879</v>
      </c>
      <c r="M77" s="3011" t="s">
        <v>421</v>
      </c>
      <c r="N77" s="1298"/>
      <c r="O77" s="1299">
        <f ca="1">SUMIF(N72:N76,"&lt;9e307")</f>
        <v>111162</v>
      </c>
      <c r="P77" s="1300"/>
      <c r="Q77" s="3009">
        <f ca="1">O77/N69</f>
        <v>0.37538623631077206</v>
      </c>
      <c r="R77" s="2013"/>
      <c r="S77" s="2013"/>
      <c r="T77" s="2013"/>
      <c r="U77" s="2013"/>
      <c r="V77" s="2013"/>
    </row>
    <row r="78" spans="1:22" ht="12" customHeight="1">
      <c r="A78" s="1301"/>
      <c r="B78" s="311"/>
      <c r="C78" s="311"/>
      <c r="D78" s="311"/>
      <c r="E78" s="42"/>
      <c r="F78" s="42"/>
      <c r="G78" s="42"/>
      <c r="H78" s="1003"/>
      <c r="I78" s="311"/>
      <c r="J78" s="2020"/>
      <c r="K78" s="3343"/>
      <c r="L78" s="3329"/>
      <c r="M78" s="3011" t="s">
        <v>425</v>
      </c>
      <c r="N78" s="1298"/>
      <c r="O78" s="1299" t="str">
        <f ca="1">NUMBERSTRING(INT(O77*10000),2)&amp;"元整"</f>
        <v>壹拾壹亿壹仟壹佰陆拾贰万元整</v>
      </c>
      <c r="P78" s="1300"/>
      <c r="Q78" s="2013"/>
      <c r="R78" s="2013"/>
      <c r="S78" s="2013"/>
      <c r="T78" s="2013"/>
      <c r="U78" s="2013"/>
      <c r="V78" s="2013"/>
    </row>
    <row r="79" spans="1:22" ht="13.5" thickBot="1">
      <c r="A79" s="3333" t="s">
        <v>427</v>
      </c>
      <c r="B79" s="3333"/>
      <c r="C79" s="3333"/>
      <c r="D79" s="3333"/>
      <c r="E79" s="3333"/>
      <c r="F79" s="42"/>
      <c r="G79" s="42"/>
      <c r="H79" s="1003"/>
      <c r="I79" s="311"/>
      <c r="J79" s="2020"/>
      <c r="K79" s="3327">
        <f>K77+1</f>
        <v>6</v>
      </c>
      <c r="L79" s="3329" t="s">
        <v>2880</v>
      </c>
      <c r="M79" s="3011" t="s">
        <v>421</v>
      </c>
      <c r="N79" s="1298"/>
      <c r="O79" s="1299">
        <f ca="1">N69-O77</f>
        <v>184965</v>
      </c>
      <c r="P79" s="1300"/>
      <c r="Q79" s="2013"/>
      <c r="R79" s="2013"/>
      <c r="S79" s="2013"/>
      <c r="T79" s="2013"/>
      <c r="U79" s="2013"/>
      <c r="V79" s="2013"/>
    </row>
    <row r="80" spans="1:22" ht="25.5">
      <c r="A80" s="3334" t="s">
        <v>428</v>
      </c>
      <c r="B80" s="3335"/>
      <c r="C80" s="994"/>
      <c r="D80" s="994" t="s">
        <v>429</v>
      </c>
      <c r="E80" s="370" t="s">
        <v>430</v>
      </c>
      <c r="F80" s="42"/>
      <c r="G80" s="42"/>
      <c r="H80" s="1003"/>
      <c r="I80" s="311"/>
      <c r="J80" s="2013"/>
      <c r="K80" s="3328"/>
      <c r="L80" s="3329"/>
      <c r="M80" s="3011" t="s">
        <v>425</v>
      </c>
      <c r="N80" s="1298"/>
      <c r="O80" s="1299" t="str">
        <f ca="1">NUMBERSTRING(INT(O79*10000),2)&amp;"元整"</f>
        <v>壹拾捌亿肆仟玖佰陆拾伍万元整</v>
      </c>
      <c r="P80" s="1300"/>
      <c r="Q80" s="2013"/>
      <c r="R80" s="2013"/>
      <c r="S80" s="2013"/>
      <c r="T80" s="2013"/>
      <c r="U80" s="2013"/>
      <c r="V80" s="2013"/>
    </row>
    <row r="81" spans="1:26" ht="13.5" thickBot="1">
      <c r="A81" s="381" t="s">
        <v>1823</v>
      </c>
      <c r="B81" s="371" t="s">
        <v>431</v>
      </c>
      <c r="C81" s="372">
        <f ca="1">ROUND((C82+C83)/(1+'数据-取费表'!C42),0)</f>
        <v>169215</v>
      </c>
      <c r="D81" s="373"/>
      <c r="E81" s="374"/>
      <c r="F81" s="42"/>
      <c r="G81" s="42"/>
      <c r="H81" s="1003"/>
      <c r="I81" s="311"/>
      <c r="J81" s="2013"/>
      <c r="K81" s="3005">
        <f>K79+1</f>
        <v>7</v>
      </c>
      <c r="L81" s="3341" t="s">
        <v>2881</v>
      </c>
      <c r="M81" s="3342"/>
      <c r="N81" s="1302"/>
      <c r="O81" s="1303">
        <f ca="1">ROUND(O79*10000/'数据-汇总表'!E3,0)</f>
        <v>29327</v>
      </c>
      <c r="P81" s="1304"/>
      <c r="Q81" s="2013"/>
      <c r="R81" s="2013"/>
      <c r="S81" s="2013"/>
      <c r="T81" s="2013"/>
      <c r="U81" s="2013"/>
      <c r="V81" s="2013"/>
    </row>
    <row r="82" spans="1:26" ht="13.5" thickTop="1">
      <c r="A82" s="375" t="s">
        <v>1824</v>
      </c>
      <c r="B82" s="376" t="s">
        <v>432</v>
      </c>
      <c r="C82" s="377">
        <f ca="1">D63</f>
        <v>177676</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16" t="s">
        <v>2868</v>
      </c>
      <c r="L83" s="3017" t="s">
        <v>2869</v>
      </c>
      <c r="M83" s="3007">
        <f ca="1">IF(N69&gt;10000,N69*0.5%,IF(AND(N69&gt;1000,N69&lt;=10000),N69*1%,IF(AND(N69&gt;100,N69&lt;=1000),N69*3%,IF(AND(N69&gt;10,N69&lt;=100),N69*5%,N69*8%))))</f>
        <v>1480.635</v>
      </c>
      <c r="N83" s="53">
        <f ca="1">ROUND(M83,1)</f>
        <v>1480.6</v>
      </c>
      <c r="O83" s="3010"/>
      <c r="P83" s="2013"/>
      <c r="Q83" s="2013"/>
      <c r="R83" s="2013"/>
      <c r="S83" s="2013"/>
      <c r="T83" s="2013"/>
      <c r="U83" s="2013"/>
      <c r="V83" s="2013"/>
    </row>
    <row r="84" spans="1:26" ht="12.75">
      <c r="A84" s="381" t="s">
        <v>1826</v>
      </c>
      <c r="B84" s="382" t="s">
        <v>434</v>
      </c>
      <c r="C84" s="383">
        <v>2000</v>
      </c>
      <c r="D84" s="384" t="s">
        <v>19</v>
      </c>
      <c r="E84" s="3049" t="s">
        <v>2923</v>
      </c>
      <c r="F84" s="42"/>
      <c r="G84" s="42"/>
      <c r="H84" s="1003"/>
      <c r="I84" s="311"/>
      <c r="J84" s="2013"/>
      <c r="K84" s="3316"/>
      <c r="L84" s="3017" t="s">
        <v>2870</v>
      </c>
      <c r="M84" s="3007">
        <f ca="1">IF(N69&gt;2000,N69*0.5%,IF(AND(N69&gt;1000,N69&lt;=2000),N69*0.6%,IF(AND(N69&gt;500,N69&lt;=1000),N69*0.7%,IF(AND(N69&gt;200,N69&lt;=500),N69*0.8%,IF(AND(N69&gt;100,N69&lt;=200),N69*0.9%,IF(AND(N69&gt;50,N69&lt;=100),N69*1%,IF(AND(N69&gt;20,N69&lt;=50),N69*1.5%,IF(AND(N69&gt;10,N69&lt;=20),N69*2%,IF(AND(N69&gt;1,N69&lt;=10),N69*2.5%)))))))))</f>
        <v>1480.635</v>
      </c>
      <c r="N84" s="53">
        <f ca="1">ROUND(M84,1)</f>
        <v>1480.6</v>
      </c>
      <c r="O84" s="2013" t="s">
        <v>2871</v>
      </c>
      <c r="P84" s="2013"/>
      <c r="Q84" s="2013"/>
      <c r="R84" s="2013"/>
      <c r="S84" s="2013"/>
      <c r="T84" s="2013"/>
      <c r="U84" s="2013"/>
      <c r="V84" s="2013"/>
    </row>
    <row r="85" spans="1:26" ht="12.75">
      <c r="A85" s="381" t="s">
        <v>1827</v>
      </c>
      <c r="B85" s="382" t="s">
        <v>435</v>
      </c>
      <c r="C85" s="385">
        <f ca="1">C81-C84</f>
        <v>167215</v>
      </c>
      <c r="D85" s="378" t="s">
        <v>19</v>
      </c>
      <c r="E85" s="379"/>
      <c r="F85" s="42"/>
      <c r="G85" s="42"/>
      <c r="H85" s="1003"/>
      <c r="I85" s="311"/>
      <c r="J85" s="2013"/>
      <c r="K85" s="3316"/>
      <c r="L85" s="3017" t="s">
        <v>2872</v>
      </c>
      <c r="M85" s="3007">
        <f ca="1">IF(N69&gt;1000,N69*0.1%,IF(AND(N69&gt;500,N69&lt;=1000),N69*0.5%,IF(AND(N69&gt;50,N69&lt;=500),N69*1%,IF(AND(N69&gt;1,N69&lt;=50),N69*1.5%))))</f>
        <v>296.12700000000001</v>
      </c>
      <c r="N85" s="53">
        <f ca="1">ROUND(M85,1)</f>
        <v>296.10000000000002</v>
      </c>
      <c r="O85" s="2013" t="s">
        <v>2871</v>
      </c>
      <c r="P85" s="2013"/>
      <c r="Q85" s="2013"/>
      <c r="R85" s="2013"/>
      <c r="S85" s="2013"/>
      <c r="T85" s="2013"/>
      <c r="U85" s="2013"/>
      <c r="V85" s="2013"/>
    </row>
    <row r="86" spans="1:26" ht="13.5" thickBot="1">
      <c r="A86" s="386" t="s">
        <v>1828</v>
      </c>
      <c r="B86" s="387" t="s">
        <v>436</v>
      </c>
      <c r="C86" s="388">
        <f ca="1">IF(C85&lt;=0,0,ROUND(C85*D86,0))</f>
        <v>9364</v>
      </c>
      <c r="D86" s="389">
        <f>'数据-取费表'!B41</f>
        <v>5.6000000000000001E-2</v>
      </c>
      <c r="E86" s="390"/>
      <c r="F86" s="42"/>
      <c r="G86" s="42"/>
      <c r="H86" s="1003"/>
      <c r="I86" s="311"/>
      <c r="J86" s="2013"/>
      <c r="K86" s="3316"/>
      <c r="L86" s="3017" t="s">
        <v>2873</v>
      </c>
      <c r="M86" s="3007">
        <f ca="1">N69*0.5%</f>
        <v>1480.635</v>
      </c>
      <c r="N86" s="53">
        <f ca="1">IF(M86&gt;0.5,0.5,ROUND(M86,0))</f>
        <v>0.5</v>
      </c>
      <c r="O86" s="2013" t="s">
        <v>2874</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16"/>
      <c r="L87" s="3017" t="s">
        <v>2875</v>
      </c>
      <c r="M87" s="3007">
        <f ca="1">IF(N69&gt;=10000,(8.25+(N69-10000)*0.01%),IF(AND(N69&gt;=8000,N69&lt;10000),(7.85+(N69-8000)*0.02%),IF(AND(N69&gt;=5000,N69&lt;8000),(6.65+(N69-5000)*0.04%),IF(AND(N69&gt;=2000,N69&lt;5000),(4.25+(PN69-2000)*0.08%),IF(AND(N69&gt;=1000,N69&lt;2000),(2.75+(N69-1000)*0.15%),IF(AND(N69&gt;=100,N69&lt;1000),(0.5+(N69-100)*0.25%),IF(AND(N69&gt;0,N69&lt;100),N69*0.5%)))))))</f>
        <v>36.862700000000004</v>
      </c>
      <c r="N87" s="53">
        <f ca="1">ROUND(M87*0.9,1)</f>
        <v>33.200000000000003</v>
      </c>
      <c r="O87" s="3010"/>
      <c r="P87" s="311"/>
      <c r="Q87" s="2013"/>
      <c r="R87" s="2013"/>
      <c r="S87" s="2013"/>
      <c r="T87" s="2013"/>
      <c r="U87" s="2013"/>
      <c r="V87" s="2013"/>
      <c r="W87" s="292"/>
      <c r="X87" s="292"/>
      <c r="Y87" s="292"/>
      <c r="Z87" s="292"/>
    </row>
    <row r="88" spans="1:26" s="1310" customFormat="1" ht="15" thickBot="1">
      <c r="A88" s="3370" t="s">
        <v>437</v>
      </c>
      <c r="B88" s="3371"/>
      <c r="C88" s="3371"/>
      <c r="D88" s="3371"/>
      <c r="E88" s="3371"/>
      <c r="F88" s="3371"/>
      <c r="G88" s="3371"/>
      <c r="H88" s="3371"/>
      <c r="I88" s="1311"/>
      <c r="J88" s="2021"/>
      <c r="K88" s="3316"/>
      <c r="L88" s="3017" t="s">
        <v>2876</v>
      </c>
      <c r="M88" s="3007">
        <f ca="1">IF(N69&gt;10000,N69*0.5%,IF(AND(N69&gt;5000,N69&lt;=10000),N69*1%,IF(AND(N69&gt;1000,N69&lt;=5000),N69*2%,IF(AND(N69&gt;200,N69&lt;=1000),N69*3%,N69*5%))))</f>
        <v>1480.635</v>
      </c>
      <c r="N88" s="53">
        <f ca="1">ROUND(M88,1)</f>
        <v>1480.6</v>
      </c>
      <c r="O88" s="3010"/>
      <c r="P88" s="11"/>
      <c r="Q88" s="2018"/>
      <c r="R88" s="2018"/>
      <c r="S88" s="2018"/>
      <c r="T88" s="2018"/>
      <c r="U88" s="2018"/>
      <c r="V88" s="2018"/>
      <c r="W88" s="2022"/>
      <c r="X88" s="2022"/>
      <c r="Y88" s="2022"/>
      <c r="Z88" s="2022"/>
    </row>
    <row r="89" spans="1:26" s="1310" customFormat="1" ht="14.25">
      <c r="A89" s="3334" t="s">
        <v>428</v>
      </c>
      <c r="B89" s="3335"/>
      <c r="C89" s="994"/>
      <c r="D89" s="994" t="s">
        <v>429</v>
      </c>
      <c r="E89" s="391" t="s">
        <v>438</v>
      </c>
      <c r="F89" s="392"/>
      <c r="G89" s="392"/>
      <c r="H89" s="393"/>
      <c r="I89" s="1312"/>
      <c r="J89" s="2023"/>
      <c r="K89" s="3316"/>
      <c r="L89" s="3017" t="s">
        <v>27</v>
      </c>
      <c r="M89" s="3008"/>
      <c r="N89" s="53">
        <f ca="1">ROUND(SUM(N83:N88),0)</f>
        <v>4772</v>
      </c>
      <c r="O89" s="3018">
        <f ca="1">N89/N69</f>
        <v>1.6114707541021251E-2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169215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3576</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67" t="s">
        <v>447</v>
      </c>
      <c r="F94" s="3368"/>
      <c r="G94" s="3368"/>
      <c r="H94" s="3369"/>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1015</v>
      </c>
      <c r="D96" s="406">
        <f>'数据-取费表'!B43</f>
        <v>6.000000000000001E-3</v>
      </c>
      <c r="E96" s="3357" t="s">
        <v>2424</v>
      </c>
      <c r="F96" s="3358"/>
      <c r="G96" s="3358"/>
      <c r="H96" s="335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165639</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46.319630872483224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98132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70" t="s">
        <v>454</v>
      </c>
      <c r="B101" s="3371"/>
      <c r="C101" s="3371"/>
      <c r="D101" s="3371"/>
      <c r="E101" s="3371"/>
      <c r="F101" s="3371"/>
      <c r="G101" s="3371"/>
      <c r="H101" s="3371"/>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34" t="s">
        <v>428</v>
      </c>
      <c r="B102" s="3335"/>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169215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1705</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2435</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60" t="s">
        <v>462</v>
      </c>
      <c r="F109" s="3358"/>
      <c r="G109" s="3358"/>
      <c r="H109" s="1926" t="s">
        <v>2275</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60" t="s">
        <v>464</v>
      </c>
      <c r="F110" s="3358"/>
      <c r="G110" s="3358"/>
      <c r="H110" s="335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1015</v>
      </c>
      <c r="D111" s="406">
        <f>'数据-取费表'!B43</f>
        <v>6.000000000000001E-3</v>
      </c>
      <c r="E111" s="3357" t="s">
        <v>2424</v>
      </c>
      <c r="F111" s="3358"/>
      <c r="G111" s="3358"/>
      <c r="H111" s="335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60" t="s">
        <v>2449</v>
      </c>
      <c r="F112" s="3358"/>
      <c r="G112" s="3358"/>
      <c r="H112" s="335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167510</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98.246334310850443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99909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I30" sqref="I3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288241</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45702</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137105</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9140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415" t="s">
        <v>522</v>
      </c>
      <c r="D6" s="3416"/>
      <c r="E6" s="3415" t="s">
        <v>523</v>
      </c>
      <c r="F6" s="3416"/>
      <c r="G6" s="3415" t="s">
        <v>524</v>
      </c>
      <c r="H6" s="3416"/>
      <c r="I6" s="3415" t="s">
        <v>525</v>
      </c>
      <c r="J6" s="3416"/>
      <c r="K6" s="514" t="s">
        <v>526</v>
      </c>
      <c r="L6" s="2118"/>
      <c r="M6" s="2117"/>
      <c r="N6" s="2117"/>
      <c r="O6" s="2119"/>
      <c r="P6" s="3417" t="s">
        <v>527</v>
      </c>
      <c r="Q6" s="3418"/>
      <c r="R6" s="3403" t="s">
        <v>523</v>
      </c>
      <c r="S6" s="3404"/>
      <c r="T6" s="3403" t="s">
        <v>524</v>
      </c>
      <c r="U6" s="3404"/>
      <c r="V6" s="3423" t="s">
        <v>525</v>
      </c>
      <c r="W6" s="3423"/>
      <c r="X6" s="1554"/>
      <c r="Y6" s="3403" t="s">
        <v>527</v>
      </c>
      <c r="Z6" s="3404"/>
      <c r="AA6" s="3398" t="s">
        <v>523</v>
      </c>
      <c r="AB6" s="3399" t="s">
        <v>524</v>
      </c>
      <c r="AC6" s="3398" t="s">
        <v>525</v>
      </c>
    </row>
    <row r="7" spans="1:30" ht="51" customHeight="1">
      <c r="A7" s="515"/>
      <c r="B7" s="516"/>
      <c r="C7" s="3428" t="s">
        <v>3028</v>
      </c>
      <c r="D7" s="3427"/>
      <c r="E7" s="3426" t="str">
        <f>土地案例!A8</f>
        <v>北京市丰台区花乡白盆窑村BPY-L011地块R2二类居住用地</v>
      </c>
      <c r="F7" s="3427"/>
      <c r="G7" s="3426" t="str">
        <f>土地案例!A12</f>
        <v>北京市丰台区城乡一体化槐房村和新宫村旧村改造项目二期(第七宗)NY-001等地块R2二类居住用地、A33基础教育用地</v>
      </c>
      <c r="H7" s="3427"/>
      <c r="I7" s="3426" t="str">
        <f>土地案例!A13</f>
        <v>北京市丰台区城乡一体化西局村旧村改造项目三期0611-638地块R2二类居住用地</v>
      </c>
      <c r="J7" s="3427"/>
      <c r="K7" s="514"/>
      <c r="L7" s="2118"/>
      <c r="M7" s="2117"/>
      <c r="N7" s="2117"/>
      <c r="O7" s="2119"/>
      <c r="P7" s="3419"/>
      <c r="Q7" s="3420"/>
      <c r="R7" s="3405"/>
      <c r="S7" s="3406"/>
      <c r="T7" s="3405"/>
      <c r="U7" s="3406"/>
      <c r="V7" s="3423"/>
      <c r="W7" s="3423"/>
      <c r="X7" s="1554"/>
      <c r="Y7" s="3405"/>
      <c r="Z7" s="3406"/>
      <c r="AA7" s="3399"/>
      <c r="AB7" s="3399"/>
      <c r="AC7" s="3399"/>
    </row>
    <row r="8" spans="1:30" ht="21" thickBot="1">
      <c r="A8" s="515"/>
      <c r="B8" s="516"/>
      <c r="C8" s="3429" t="s">
        <v>3029</v>
      </c>
      <c r="D8" s="3430"/>
      <c r="E8" s="3429" t="s">
        <v>3029</v>
      </c>
      <c r="F8" s="3430"/>
      <c r="G8" s="3424" t="s">
        <v>3029</v>
      </c>
      <c r="H8" s="3425"/>
      <c r="I8" s="3424" t="s">
        <v>3029</v>
      </c>
      <c r="J8" s="3425"/>
      <c r="K8" s="514" t="s">
        <v>528</v>
      </c>
      <c r="L8" s="2118"/>
      <c r="M8" s="2117"/>
      <c r="N8" s="2117"/>
      <c r="O8" s="2119"/>
      <c r="P8" s="3421"/>
      <c r="Q8" s="3422"/>
      <c r="R8" s="3405"/>
      <c r="S8" s="3406"/>
      <c r="T8" s="3407"/>
      <c r="U8" s="3408"/>
      <c r="V8" s="3423"/>
      <c r="W8" s="3423"/>
      <c r="X8" s="1554"/>
      <c r="Y8" s="3407"/>
      <c r="Z8" s="3408"/>
      <c r="AA8" s="3400"/>
      <c r="AB8" s="3400"/>
      <c r="AC8" s="3400"/>
    </row>
    <row r="9" spans="1:30" s="1216" customFormat="1" ht="21" thickBot="1">
      <c r="A9" s="2867"/>
      <c r="B9" s="2874" t="s">
        <v>529</v>
      </c>
      <c r="C9" s="2866">
        <f>'数据-取费表'!B2</f>
        <v>43910</v>
      </c>
      <c r="D9" s="520">
        <v>100</v>
      </c>
      <c r="E9" s="521" t="str">
        <f>土地案例!I8</f>
        <v>2018-11-26</v>
      </c>
      <c r="F9" s="522">
        <f>SUMIF(72:72,YEAR(E9)&amp;"-"&amp;INT((MONTH(E9)+2)/3),73:73)</f>
        <v>97.5</v>
      </c>
      <c r="G9" s="523" t="str">
        <f>土地案例!I12</f>
        <v>2018-01-04</v>
      </c>
      <c r="H9" s="520">
        <f>SUMIF(72:72,YEAR(G9)&amp;"-"&amp;INT((MONTH(G9)+2)/3),73:73)</f>
        <v>96</v>
      </c>
      <c r="I9" s="523" t="str">
        <f>土地案例!I13</f>
        <v>2017-09-21</v>
      </c>
      <c r="J9" s="520">
        <f>SUMIF(72:72,YEAR(I9)&amp;"-"&amp;INT((MONTH(I9)+2)/3),73:73)</f>
        <v>95</v>
      </c>
      <c r="K9" s="524"/>
      <c r="L9" s="2120"/>
      <c r="M9" s="2117"/>
      <c r="N9" s="2117"/>
      <c r="O9" s="2121"/>
      <c r="P9" s="3401" t="s">
        <v>530</v>
      </c>
      <c r="Q9" s="3410"/>
      <c r="R9" s="1555" t="s">
        <v>8</v>
      </c>
      <c r="S9" s="1556">
        <f t="shared" ref="S9:S17" si="0">F9</f>
        <v>97.5</v>
      </c>
      <c r="T9" s="1555" t="s">
        <v>8</v>
      </c>
      <c r="U9" s="1556">
        <f t="shared" ref="U9:U17" si="1">H9</f>
        <v>96</v>
      </c>
      <c r="V9" s="1555" t="s">
        <v>8</v>
      </c>
      <c r="W9" s="1556">
        <f t="shared" ref="W9:W17" si="2">J9</f>
        <v>95</v>
      </c>
      <c r="X9" s="1557"/>
      <c r="Y9" s="3401" t="s">
        <v>530</v>
      </c>
      <c r="Z9" s="3402"/>
      <c r="AA9" s="1558">
        <f>D9/F9</f>
        <v>1.0256410256410255</v>
      </c>
      <c r="AB9" s="1558">
        <f>D9/H9</f>
        <v>1.0416666666666667</v>
      </c>
      <c r="AC9" s="1558">
        <f>D9/J9</f>
        <v>1.0526315789473684</v>
      </c>
    </row>
    <row r="10" spans="1:30" s="1216" customFormat="1" ht="21" thickBot="1">
      <c r="A10" s="2868"/>
      <c r="B10" s="2875" t="s">
        <v>531</v>
      </c>
      <c r="C10" s="856" t="s">
        <v>532</v>
      </c>
      <c r="D10" s="520">
        <v>100</v>
      </c>
      <c r="E10" s="525" t="s">
        <v>3137</v>
      </c>
      <c r="F10" s="522">
        <f>SUMIF(75:75,E10,76:76)-SUMIF(75:75,C10,76:76)+100</f>
        <v>100</v>
      </c>
      <c r="G10" s="525" t="s">
        <v>3137</v>
      </c>
      <c r="H10" s="520">
        <f>SUMIF(75:75,G10,76:76)-SUMIF(75:75,C10,76:76)+100</f>
        <v>100</v>
      </c>
      <c r="I10" s="525" t="s">
        <v>3137</v>
      </c>
      <c r="J10" s="520">
        <f>SUMIF(75:75,I10,76:76)-SUMIF(75:75,C10,76:76)+100</f>
        <v>100</v>
      </c>
      <c r="K10" s="524"/>
      <c r="L10" s="2120"/>
      <c r="M10" s="2117"/>
      <c r="N10" s="2117"/>
      <c r="O10" s="2121"/>
      <c r="P10" s="3401" t="s">
        <v>533</v>
      </c>
      <c r="Q10" s="3402"/>
      <c r="R10" s="1555" t="s">
        <v>8</v>
      </c>
      <c r="S10" s="1556">
        <f t="shared" si="0"/>
        <v>100</v>
      </c>
      <c r="T10" s="1555" t="s">
        <v>8</v>
      </c>
      <c r="U10" s="1556">
        <f t="shared" si="1"/>
        <v>100</v>
      </c>
      <c r="V10" s="1555" t="s">
        <v>8</v>
      </c>
      <c r="W10" s="1556">
        <f t="shared" si="2"/>
        <v>100</v>
      </c>
      <c r="X10" s="1557"/>
      <c r="Y10" s="3401" t="s">
        <v>533</v>
      </c>
      <c r="Z10" s="3402"/>
      <c r="AA10" s="1558">
        <f t="shared" ref="AA10:AA47" si="3">D10/F10</f>
        <v>1</v>
      </c>
      <c r="AB10" s="1558">
        <f t="shared" ref="AB10:AB47" si="4">D10/H10</f>
        <v>1</v>
      </c>
      <c r="AC10" s="1558">
        <f t="shared" ref="AC10:AC47" si="5">D10/J10</f>
        <v>1</v>
      </c>
    </row>
    <row r="11" spans="1:30" s="1216" customFormat="1" ht="20.25">
      <c r="A11" s="2869"/>
      <c r="B11" s="2876" t="s">
        <v>2750</v>
      </c>
      <c r="C11" s="2863"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0"/>
      <c r="M11" s="2117"/>
      <c r="N11" s="2117"/>
      <c r="O11" s="2122"/>
      <c r="P11" s="3409" t="s">
        <v>535</v>
      </c>
      <c r="Q11" s="1147" t="str">
        <f t="shared" ref="Q11:Q17" si="6">B11</f>
        <v>用途</v>
      </c>
      <c r="R11" s="1555" t="s">
        <v>8</v>
      </c>
      <c r="S11" s="1556">
        <f t="shared" si="0"/>
        <v>100</v>
      </c>
      <c r="T11" s="1555" t="s">
        <v>8</v>
      </c>
      <c r="U11" s="1556">
        <f t="shared" si="1"/>
        <v>100</v>
      </c>
      <c r="V11" s="1555" t="s">
        <v>8</v>
      </c>
      <c r="W11" s="1556">
        <f t="shared" si="2"/>
        <v>100</v>
      </c>
      <c r="X11" s="1557"/>
      <c r="Y11" s="3366" t="s">
        <v>536</v>
      </c>
      <c r="Z11" s="1146" t="str">
        <f t="shared" ref="Z11:Z17" si="7">Q11</f>
        <v>用途</v>
      </c>
      <c r="AA11" s="1558">
        <f t="shared" si="3"/>
        <v>1</v>
      </c>
      <c r="AB11" s="1558">
        <f t="shared" si="4"/>
        <v>1</v>
      </c>
      <c r="AC11" s="1558">
        <f t="shared" si="5"/>
        <v>1</v>
      </c>
    </row>
    <row r="12" spans="1:30" s="1334" customFormat="1" ht="27">
      <c r="A12" s="2870"/>
      <c r="B12" s="2875" t="s">
        <v>2751</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409"/>
      <c r="Q12" s="1147" t="str">
        <f t="shared" si="6"/>
        <v>土地使用年限（年）</v>
      </c>
      <c r="R12" s="1555" t="s">
        <v>8</v>
      </c>
      <c r="S12" s="1556">
        <f t="shared" si="0"/>
        <v>100</v>
      </c>
      <c r="T12" s="1555" t="s">
        <v>8</v>
      </c>
      <c r="U12" s="1556">
        <f t="shared" si="1"/>
        <v>100</v>
      </c>
      <c r="V12" s="1555" t="s">
        <v>8</v>
      </c>
      <c r="W12" s="1556">
        <f t="shared" si="2"/>
        <v>100</v>
      </c>
      <c r="X12" s="1557"/>
      <c r="Y12" s="3366"/>
      <c r="Z12" s="1146" t="str">
        <f t="shared" si="7"/>
        <v>土地使用年限（年）</v>
      </c>
      <c r="AA12" s="1558">
        <f t="shared" si="3"/>
        <v>1</v>
      </c>
      <c r="AB12" s="1558">
        <f t="shared" si="4"/>
        <v>1</v>
      </c>
      <c r="AC12" s="1558">
        <f t="shared" si="5"/>
        <v>1</v>
      </c>
    </row>
    <row r="13" spans="1:30" ht="20.25">
      <c r="A13" s="2871"/>
      <c r="B13" s="2875" t="s">
        <v>2752</v>
      </c>
      <c r="C13" s="534">
        <v>3</v>
      </c>
      <c r="D13" s="255">
        <v>100</v>
      </c>
      <c r="E13" s="533">
        <f>土地案例!P7</f>
        <v>2.9</v>
      </c>
      <c r="F13" s="255">
        <f>LOOKUP(E13,82:82,83:83)-LOOKUP(C13,82:82,83:83)+100</f>
        <v>105</v>
      </c>
      <c r="G13" s="534">
        <f>土地案例!G12</f>
        <v>1.9</v>
      </c>
      <c r="H13" s="255">
        <f>LOOKUP(G13,82:82,83:83)-LOOKUP(C13,82:82,83:83)+100</f>
        <v>110</v>
      </c>
      <c r="I13" s="533">
        <f>土地案例!F13</f>
        <v>2.8</v>
      </c>
      <c r="J13" s="255">
        <f>LOOKUP(I13,82:82,83:83)-LOOKUP(C13,82:82,83:83)+100</f>
        <v>105</v>
      </c>
      <c r="K13" s="535">
        <v>5</v>
      </c>
      <c r="L13" s="2125"/>
      <c r="M13" s="2117"/>
      <c r="N13" s="2117"/>
      <c r="O13" s="2126"/>
      <c r="P13" s="3409"/>
      <c r="Q13" s="1147" t="str">
        <f t="shared" si="6"/>
        <v>容积率</v>
      </c>
      <c r="R13" s="1555" t="s">
        <v>8</v>
      </c>
      <c r="S13" s="1556">
        <f t="shared" si="0"/>
        <v>105</v>
      </c>
      <c r="T13" s="1555" t="s">
        <v>8</v>
      </c>
      <c r="U13" s="1556">
        <f t="shared" si="1"/>
        <v>110</v>
      </c>
      <c r="V13" s="1555" t="s">
        <v>8</v>
      </c>
      <c r="W13" s="1556">
        <f t="shared" si="2"/>
        <v>105</v>
      </c>
      <c r="X13" s="1557"/>
      <c r="Y13" s="3366"/>
      <c r="Z13" s="1146" t="str">
        <f t="shared" si="7"/>
        <v>容积率</v>
      </c>
      <c r="AA13" s="1558">
        <f t="shared" si="3"/>
        <v>0.95238095238095233</v>
      </c>
      <c r="AB13" s="1558">
        <f t="shared" si="4"/>
        <v>0.90909090909090906</v>
      </c>
      <c r="AC13" s="1558">
        <f t="shared" si="5"/>
        <v>0.95238095238095233</v>
      </c>
    </row>
    <row r="14" spans="1:30" s="1216" customFormat="1" ht="20.25">
      <c r="A14" s="2868"/>
      <c r="B14" s="2877" t="s">
        <v>2753</v>
      </c>
      <c r="C14" s="2864" t="s">
        <v>3115</v>
      </c>
      <c r="D14" s="538">
        <v>100</v>
      </c>
      <c r="E14" s="1371" t="s">
        <v>3115</v>
      </c>
      <c r="F14" s="255">
        <f>SUMIF(84:84,E14,85:85)-SUMIF(84:84,C14,85:85)+100</f>
        <v>100</v>
      </c>
      <c r="G14" s="3204" t="s">
        <v>3113</v>
      </c>
      <c r="H14" s="255">
        <f>SUMIF(84:84,G14,85:85)-SUMIF(84:84,C14,85:85)+100</f>
        <v>100</v>
      </c>
      <c r="I14" s="3205" t="s">
        <v>3138</v>
      </c>
      <c r="J14" s="255">
        <f>SUMIF(84:84,I14,85:85)-SUMIF(84:84,C14,85:85)+100</f>
        <v>100</v>
      </c>
      <c r="K14" s="531"/>
      <c r="L14" s="2120"/>
      <c r="M14" s="2117"/>
      <c r="N14" s="2117"/>
      <c r="O14" s="2122"/>
      <c r="P14" s="3409"/>
      <c r="Q14" s="1147" t="str">
        <f t="shared" si="6"/>
        <v>配建</v>
      </c>
      <c r="R14" s="1555" t="s">
        <v>8</v>
      </c>
      <c r="S14" s="1556">
        <f t="shared" si="0"/>
        <v>100</v>
      </c>
      <c r="T14" s="1555" t="s">
        <v>8</v>
      </c>
      <c r="U14" s="1556">
        <f t="shared" si="1"/>
        <v>100</v>
      </c>
      <c r="V14" s="1555" t="s">
        <v>8</v>
      </c>
      <c r="W14" s="1556">
        <f t="shared" si="2"/>
        <v>100</v>
      </c>
      <c r="X14" s="1557"/>
      <c r="Y14" s="3366"/>
      <c r="Z14" s="1146" t="str">
        <f t="shared" si="7"/>
        <v>配建</v>
      </c>
      <c r="AA14" s="1558">
        <f>D14/F14</f>
        <v>1</v>
      </c>
      <c r="AB14" s="1558">
        <f>D14/H14</f>
        <v>1</v>
      </c>
      <c r="AC14" s="1558">
        <f>D14/J14</f>
        <v>1</v>
      </c>
    </row>
    <row r="15" spans="1:30" ht="20.25">
      <c r="A15" s="2872"/>
      <c r="B15" s="3187" t="s">
        <v>3027</v>
      </c>
      <c r="C15" s="3208" t="s">
        <v>3115</v>
      </c>
      <c r="D15" s="540">
        <v>100</v>
      </c>
      <c r="E15" s="3207" t="s">
        <v>3115</v>
      </c>
      <c r="F15" s="255">
        <f>SUMIF(86:86,E15,87:87)-SUMIF(86:86,C15,87:87)+100</f>
        <v>100</v>
      </c>
      <c r="G15" s="3212" t="s">
        <v>3113</v>
      </c>
      <c r="H15" s="540">
        <f>SUMIF(86:86,G15,87:87)-SUMIF(86:86,C15,87:87)+100</f>
        <v>100</v>
      </c>
      <c r="I15" s="3212" t="s">
        <v>3114</v>
      </c>
      <c r="J15" s="540">
        <f>SUMIF(86:86,I15,87:87)-SUMIF(86:86,C15,87:87)+100</f>
        <v>95</v>
      </c>
      <c r="K15" s="531"/>
      <c r="L15" s="2127"/>
      <c r="M15" s="2117"/>
      <c r="N15" s="2117"/>
      <c r="O15" s="2126"/>
      <c r="P15" s="3409"/>
      <c r="Q15" s="1147" t="str">
        <f t="shared" si="6"/>
        <v>是否有自持</v>
      </c>
      <c r="R15" s="1555" t="s">
        <v>8</v>
      </c>
      <c r="S15" s="1556">
        <f t="shared" si="0"/>
        <v>100</v>
      </c>
      <c r="T15" s="1555" t="s">
        <v>8</v>
      </c>
      <c r="U15" s="1556">
        <f t="shared" si="1"/>
        <v>100</v>
      </c>
      <c r="V15" s="1555" t="s">
        <v>8</v>
      </c>
      <c r="W15" s="1556">
        <f t="shared" si="2"/>
        <v>95</v>
      </c>
      <c r="X15" s="1557"/>
      <c r="Y15" s="3366"/>
      <c r="Z15" s="1146" t="str">
        <f t="shared" si="7"/>
        <v>是否有自持</v>
      </c>
      <c r="AA15" s="1558">
        <f>D15/F15</f>
        <v>1</v>
      </c>
      <c r="AB15" s="1558">
        <f>D15/H15</f>
        <v>1</v>
      </c>
      <c r="AC15" s="1558">
        <f>D15/J15</f>
        <v>1.0526315789473684</v>
      </c>
    </row>
    <row r="16" spans="1:30" ht="21" thickBot="1">
      <c r="A16" s="2873"/>
      <c r="B16" s="3209" t="s">
        <v>3153</v>
      </c>
      <c r="C16" s="3206" t="s">
        <v>3156</v>
      </c>
      <c r="D16" s="546">
        <v>100</v>
      </c>
      <c r="E16" s="3207" t="s">
        <v>3161</v>
      </c>
      <c r="F16" s="546">
        <f>SUMIF(88:88,E16,89:89)-SUMIF(88:88,C16,89:89)+100</f>
        <v>90</v>
      </c>
      <c r="G16" s="542" t="s">
        <v>3160</v>
      </c>
      <c r="H16" s="546">
        <f>SUMIF(88:88,G16,89:89)-SUMIF(88:88,C16,89:89)+100</f>
        <v>90</v>
      </c>
      <c r="I16" s="542" t="s">
        <v>3159</v>
      </c>
      <c r="J16" s="546">
        <f>SUMIF(88:88,I16,89:89)-SUMIF(88:88,C16,89:89)+100</f>
        <v>95</v>
      </c>
      <c r="K16" s="531"/>
      <c r="L16" s="2127"/>
      <c r="M16" s="2117"/>
      <c r="N16" s="2117"/>
      <c r="O16" s="2126"/>
      <c r="P16" s="3409"/>
      <c r="Q16" s="1147" t="str">
        <f t="shared" si="6"/>
        <v>限价</v>
      </c>
      <c r="R16" s="1555" t="s">
        <v>8</v>
      </c>
      <c r="S16" s="1556">
        <f t="shared" si="0"/>
        <v>90</v>
      </c>
      <c r="T16" s="1555" t="s">
        <v>8</v>
      </c>
      <c r="U16" s="1556">
        <f t="shared" si="1"/>
        <v>90</v>
      </c>
      <c r="V16" s="1555" t="s">
        <v>8</v>
      </c>
      <c r="W16" s="1556">
        <f t="shared" si="2"/>
        <v>95</v>
      </c>
      <c r="X16" s="1557"/>
      <c r="Y16" s="3366"/>
      <c r="Z16" s="1146" t="str">
        <f t="shared" si="7"/>
        <v>限价</v>
      </c>
      <c r="AA16" s="1558">
        <f>D16/F16</f>
        <v>1.1111111111111112</v>
      </c>
      <c r="AB16" s="1558">
        <f>D16/H16</f>
        <v>1.1111111111111112</v>
      </c>
      <c r="AC16" s="1558">
        <f>D16/J16</f>
        <v>1.0526315789473684</v>
      </c>
    </row>
    <row r="17" spans="1:29" ht="20.25">
      <c r="A17" s="2865" t="s">
        <v>2748</v>
      </c>
      <c r="B17" s="578" t="s">
        <v>295</v>
      </c>
      <c r="C17" s="548" t="str">
        <f>估价对象房地状况!C15</f>
        <v>较好</v>
      </c>
      <c r="D17" s="551">
        <v>100</v>
      </c>
      <c r="E17" s="552"/>
      <c r="F17" s="549">
        <f>SUMIF(90:90,E18,91:91)-SUMIF(90:90,C18,91:91)+100</f>
        <v>95</v>
      </c>
      <c r="G17" s="550"/>
      <c r="H17" s="549">
        <f>SUMIF(90:90,G18,91:91)-SUMIF(90:90,C18,91:91)+100</f>
        <v>100</v>
      </c>
      <c r="I17" s="552"/>
      <c r="J17" s="549">
        <f>SUMIF(90:90,I18,91:91)-SUMIF(90:90,C18,91:91)+100</f>
        <v>100</v>
      </c>
      <c r="K17" s="535">
        <v>5</v>
      </c>
      <c r="L17" s="2127"/>
      <c r="M17" s="2117"/>
      <c r="N17" s="2117"/>
      <c r="O17" s="2126"/>
      <c r="P17" s="3411" t="s">
        <v>540</v>
      </c>
      <c r="Q17" s="1559" t="str">
        <f t="shared" si="6"/>
        <v>居住社区成熟度</v>
      </c>
      <c r="R17" s="1560" t="s">
        <v>8</v>
      </c>
      <c r="S17" s="1561">
        <f t="shared" si="0"/>
        <v>95</v>
      </c>
      <c r="T17" s="1560" t="s">
        <v>8</v>
      </c>
      <c r="U17" s="1561">
        <f t="shared" si="1"/>
        <v>100</v>
      </c>
      <c r="V17" s="1560" t="s">
        <v>8</v>
      </c>
      <c r="W17" s="1561">
        <f t="shared" si="2"/>
        <v>100</v>
      </c>
      <c r="X17" s="1554"/>
      <c r="Y17" s="3411" t="s">
        <v>540</v>
      </c>
      <c r="Z17" s="1562" t="str">
        <f t="shared" si="7"/>
        <v>居住社区成熟度</v>
      </c>
      <c r="AA17" s="1563">
        <f t="shared" si="3"/>
        <v>1.0526315789473684</v>
      </c>
      <c r="AB17" s="1563">
        <f t="shared" si="4"/>
        <v>1</v>
      </c>
      <c r="AC17" s="1563">
        <f t="shared" si="5"/>
        <v>1</v>
      </c>
    </row>
    <row r="18" spans="1:29" ht="20.25">
      <c r="A18" s="532"/>
      <c r="B18" s="553"/>
      <c r="C18" s="554" t="s">
        <v>3139</v>
      </c>
      <c r="D18" s="557"/>
      <c r="E18" s="558" t="s">
        <v>3151</v>
      </c>
      <c r="F18" s="555"/>
      <c r="G18" s="556" t="s">
        <v>3139</v>
      </c>
      <c r="H18" s="559"/>
      <c r="I18" s="558" t="s">
        <v>3139</v>
      </c>
      <c r="J18" s="555"/>
      <c r="K18" s="531"/>
      <c r="L18" s="2127"/>
      <c r="M18" s="2117"/>
      <c r="N18" s="2117"/>
      <c r="O18" s="2126"/>
      <c r="P18" s="3412"/>
      <c r="Q18" s="1559"/>
      <c r="R18" s="1560"/>
      <c r="S18" s="1561"/>
      <c r="T18" s="1560"/>
      <c r="U18" s="1561"/>
      <c r="V18" s="1560"/>
      <c r="W18" s="1561"/>
      <c r="X18" s="1554"/>
      <c r="Y18" s="3412"/>
      <c r="Z18" s="1562"/>
      <c r="AA18" s="1563">
        <v>1</v>
      </c>
      <c r="AB18" s="1563">
        <v>1</v>
      </c>
      <c r="AC18" s="1563">
        <v>1</v>
      </c>
    </row>
    <row r="19" spans="1:29" ht="20.25">
      <c r="A19" s="532"/>
      <c r="B19" s="560" t="s">
        <v>541</v>
      </c>
      <c r="C19" s="561" t="str">
        <f>估价对象房地状况!C16</f>
        <v>较好</v>
      </c>
      <c r="D19" s="563">
        <v>100</v>
      </c>
      <c r="E19" s="564"/>
      <c r="F19" s="559">
        <f>SUMIF(92:92,E20,93:93)-SUMIF(92:92,C20,93:93)+100</f>
        <v>98</v>
      </c>
      <c r="G19" s="562"/>
      <c r="H19" s="565">
        <f>SUMIF(92:92,G20,93:93)-SUMIF(92:92,C20,93:93)+100</f>
        <v>98</v>
      </c>
      <c r="I19" s="564"/>
      <c r="J19" s="565">
        <f>SUMIF(92:92,I20,93:93)-SUMIF(92:92,C20,93:93)+100</f>
        <v>100</v>
      </c>
      <c r="K19" s="535">
        <v>2</v>
      </c>
      <c r="L19" s="2127"/>
      <c r="M19" s="2117"/>
      <c r="N19" s="2117"/>
      <c r="O19" s="2126"/>
      <c r="P19" s="3412"/>
      <c r="Q19" s="1559" t="str">
        <f>B19</f>
        <v>商业繁华度</v>
      </c>
      <c r="R19" s="1560" t="s">
        <v>8</v>
      </c>
      <c r="S19" s="1561">
        <f>F19</f>
        <v>98</v>
      </c>
      <c r="T19" s="1560" t="s">
        <v>8</v>
      </c>
      <c r="U19" s="1561">
        <f>H19</f>
        <v>98</v>
      </c>
      <c r="V19" s="1560" t="s">
        <v>8</v>
      </c>
      <c r="W19" s="1561">
        <f>J19</f>
        <v>100</v>
      </c>
      <c r="X19" s="1554"/>
      <c r="Y19" s="3412"/>
      <c r="Z19" s="1562" t="str">
        <f>Q19</f>
        <v>商业繁华度</v>
      </c>
      <c r="AA19" s="1563">
        <f t="shared" si="3"/>
        <v>1.0204081632653061</v>
      </c>
      <c r="AB19" s="1563">
        <f t="shared" si="4"/>
        <v>1.0204081632653061</v>
      </c>
      <c r="AC19" s="1563">
        <f t="shared" si="5"/>
        <v>1</v>
      </c>
    </row>
    <row r="20" spans="1:29" ht="20.25">
      <c r="A20" s="532"/>
      <c r="B20" s="566"/>
      <c r="C20" s="567" t="s">
        <v>3139</v>
      </c>
      <c r="D20" s="563"/>
      <c r="E20" s="569" t="s">
        <v>3151</v>
      </c>
      <c r="F20" s="559"/>
      <c r="G20" s="568" t="s">
        <v>3151</v>
      </c>
      <c r="H20" s="555"/>
      <c r="I20" s="569" t="s">
        <v>3139</v>
      </c>
      <c r="J20" s="555"/>
      <c r="K20" s="531"/>
      <c r="L20" s="2127"/>
      <c r="M20" s="2117"/>
      <c r="N20" s="2117"/>
      <c r="O20" s="2126"/>
      <c r="P20" s="3412"/>
      <c r="Q20" s="1559"/>
      <c r="R20" s="1560"/>
      <c r="S20" s="1561"/>
      <c r="T20" s="1560"/>
      <c r="U20" s="1561"/>
      <c r="V20" s="1560"/>
      <c r="W20" s="1561"/>
      <c r="X20" s="1554"/>
      <c r="Y20" s="3412"/>
      <c r="Z20" s="1562"/>
      <c r="AA20" s="1563">
        <v>1</v>
      </c>
      <c r="AB20" s="1563">
        <v>1</v>
      </c>
      <c r="AC20" s="1563">
        <v>1</v>
      </c>
    </row>
    <row r="21" spans="1:29" ht="20.25" hidden="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412"/>
      <c r="Q21" s="1559" t="str">
        <f>B21</f>
        <v>办公集聚程度</v>
      </c>
      <c r="R21" s="1560" t="s">
        <v>8</v>
      </c>
      <c r="S21" s="1561">
        <f>F21</f>
        <v>100</v>
      </c>
      <c r="T21" s="1560" t="s">
        <v>8</v>
      </c>
      <c r="U21" s="1561">
        <f>H21</f>
        <v>100</v>
      </c>
      <c r="V21" s="1560" t="s">
        <v>8</v>
      </c>
      <c r="W21" s="1561">
        <f>J21</f>
        <v>100</v>
      </c>
      <c r="X21" s="1554"/>
      <c r="Y21" s="3412"/>
      <c r="Z21" s="1562" t="str">
        <f>Q21</f>
        <v>办公集聚程度</v>
      </c>
      <c r="AA21" s="1563">
        <f t="shared" si="3"/>
        <v>1</v>
      </c>
      <c r="AB21" s="1563">
        <f t="shared" si="4"/>
        <v>1</v>
      </c>
      <c r="AC21" s="1563">
        <f t="shared" si="5"/>
        <v>1</v>
      </c>
    </row>
    <row r="22" spans="1:29" ht="20.25" hidden="1">
      <c r="A22" s="532"/>
      <c r="B22" s="566"/>
      <c r="C22" s="554" t="s">
        <v>3151</v>
      </c>
      <c r="D22" s="557"/>
      <c r="E22" s="558" t="s">
        <v>3151</v>
      </c>
      <c r="F22" s="555"/>
      <c r="G22" s="556" t="s">
        <v>3151</v>
      </c>
      <c r="H22" s="555"/>
      <c r="I22" s="558" t="s">
        <v>3151</v>
      </c>
      <c r="J22" s="555"/>
      <c r="K22" s="531"/>
      <c r="L22" s="2127"/>
      <c r="M22" s="2117"/>
      <c r="N22" s="2117"/>
      <c r="O22" s="2126"/>
      <c r="P22" s="3412"/>
      <c r="Q22" s="1559"/>
      <c r="R22" s="1560"/>
      <c r="S22" s="1561"/>
      <c r="T22" s="1560"/>
      <c r="U22" s="1561"/>
      <c r="V22" s="1560"/>
      <c r="W22" s="1561"/>
      <c r="X22" s="1554"/>
      <c r="Y22" s="3412"/>
      <c r="Z22" s="1562"/>
      <c r="AA22" s="1563">
        <v>1</v>
      </c>
      <c r="AB22" s="1563">
        <v>1</v>
      </c>
      <c r="AC22" s="1563">
        <v>1</v>
      </c>
    </row>
    <row r="23" spans="1:29" ht="20.25">
      <c r="A23" s="532"/>
      <c r="B23" s="560" t="s">
        <v>543</v>
      </c>
      <c r="C23" s="573" t="str">
        <f>估价对象房地状况!C18</f>
        <v>好</v>
      </c>
      <c r="D23" s="563">
        <v>100</v>
      </c>
      <c r="E23" s="564"/>
      <c r="F23" s="565">
        <f>SUMIF(96:96,E24,97:97)-SUMIF(96:96,C24,97:97)+100</f>
        <v>96</v>
      </c>
      <c r="G23" s="562"/>
      <c r="H23" s="559">
        <f>SUMIF(96:96,G24,97:97)-SUMIF(96:96,C24,97:97)+100</f>
        <v>96</v>
      </c>
      <c r="I23" s="564"/>
      <c r="J23" s="559">
        <f>SUMIF(96:96,I24,97:97)-SUMIF(96:96,C24,97:97)+100</f>
        <v>100</v>
      </c>
      <c r="K23" s="535">
        <v>2</v>
      </c>
      <c r="L23" s="2127"/>
      <c r="M23" s="2117"/>
      <c r="N23" s="2117"/>
      <c r="O23" s="2126"/>
      <c r="P23" s="3412"/>
      <c r="Q23" s="1559" t="str">
        <f>B23</f>
        <v>交通便捷度</v>
      </c>
      <c r="R23" s="1560" t="s">
        <v>8</v>
      </c>
      <c r="S23" s="1561">
        <f>F23</f>
        <v>96</v>
      </c>
      <c r="T23" s="1560" t="s">
        <v>8</v>
      </c>
      <c r="U23" s="1561">
        <f>H23</f>
        <v>96</v>
      </c>
      <c r="V23" s="1560" t="s">
        <v>8</v>
      </c>
      <c r="W23" s="1561">
        <f>J23</f>
        <v>100</v>
      </c>
      <c r="X23" s="1554"/>
      <c r="Y23" s="3412"/>
      <c r="Z23" s="1562" t="str">
        <f>Q23</f>
        <v>交通便捷度</v>
      </c>
      <c r="AA23" s="1563">
        <f t="shared" si="3"/>
        <v>1.0416666666666667</v>
      </c>
      <c r="AB23" s="1563">
        <f t="shared" si="4"/>
        <v>1.0416666666666667</v>
      </c>
      <c r="AC23" s="1563">
        <f t="shared" si="5"/>
        <v>1</v>
      </c>
    </row>
    <row r="24" spans="1:29" ht="20.25">
      <c r="A24" s="532"/>
      <c r="B24" s="578"/>
      <c r="C24" s="554" t="s">
        <v>3152</v>
      </c>
      <c r="D24" s="557"/>
      <c r="E24" s="558" t="s">
        <v>3151</v>
      </c>
      <c r="F24" s="555"/>
      <c r="G24" s="556" t="s">
        <v>3151</v>
      </c>
      <c r="H24" s="555"/>
      <c r="I24" s="558" t="s">
        <v>3152</v>
      </c>
      <c r="J24" s="555"/>
      <c r="K24" s="531"/>
      <c r="L24" s="2127"/>
      <c r="M24" s="2117"/>
      <c r="N24" s="2117"/>
      <c r="O24" s="2126"/>
      <c r="P24" s="3412"/>
      <c r="Q24" s="1559"/>
      <c r="R24" s="1560"/>
      <c r="S24" s="1561"/>
      <c r="T24" s="1560"/>
      <c r="U24" s="1561"/>
      <c r="V24" s="1560"/>
      <c r="W24" s="1561"/>
      <c r="X24" s="1554"/>
      <c r="Y24" s="3412"/>
      <c r="Z24" s="1562"/>
      <c r="AA24" s="1563">
        <v>1</v>
      </c>
      <c r="AB24" s="1563">
        <v>1</v>
      </c>
      <c r="AC24" s="1563">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12"/>
      <c r="Q25" s="1559" t="str">
        <f t="shared" ref="Q25:Q39" si="8">B25</f>
        <v>区域土地利用方向</v>
      </c>
      <c r="R25" s="1560" t="s">
        <v>8</v>
      </c>
      <c r="S25" s="1561">
        <f>F25</f>
        <v>100</v>
      </c>
      <c r="T25" s="1560" t="s">
        <v>8</v>
      </c>
      <c r="U25" s="1561">
        <f>H25</f>
        <v>100</v>
      </c>
      <c r="V25" s="1560" t="s">
        <v>8</v>
      </c>
      <c r="W25" s="1561">
        <f>J25</f>
        <v>100</v>
      </c>
      <c r="X25" s="1554"/>
      <c r="Y25" s="3412"/>
      <c r="Z25" s="1562" t="str">
        <f>Q25</f>
        <v>区域土地利用方向</v>
      </c>
      <c r="AA25" s="1563">
        <f t="shared" si="3"/>
        <v>1</v>
      </c>
      <c r="AB25" s="1563">
        <f t="shared" si="4"/>
        <v>1</v>
      </c>
      <c r="AC25" s="1563">
        <f t="shared" si="5"/>
        <v>1</v>
      </c>
    </row>
    <row r="26" spans="1:29" ht="20.25">
      <c r="A26" s="515"/>
      <c r="B26" s="1007"/>
      <c r="C26" s="554" t="s">
        <v>3139</v>
      </c>
      <c r="D26" s="557"/>
      <c r="E26" s="558" t="s">
        <v>3139</v>
      </c>
      <c r="F26" s="555"/>
      <c r="G26" s="558" t="s">
        <v>3139</v>
      </c>
      <c r="H26" s="555"/>
      <c r="I26" s="558" t="s">
        <v>3139</v>
      </c>
      <c r="J26" s="555"/>
      <c r="K26" s="531"/>
      <c r="L26" s="2127"/>
      <c r="M26" s="2117"/>
      <c r="N26" s="2117"/>
      <c r="O26" s="2126"/>
      <c r="P26" s="3412"/>
      <c r="Q26" s="1559"/>
      <c r="R26" s="1560"/>
      <c r="S26" s="1561"/>
      <c r="T26" s="1560"/>
      <c r="U26" s="1561"/>
      <c r="V26" s="1560"/>
      <c r="W26" s="1561"/>
      <c r="X26" s="1554"/>
      <c r="Y26" s="3412"/>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102</v>
      </c>
      <c r="K27" s="535">
        <v>2</v>
      </c>
      <c r="L27" s="2127"/>
      <c r="M27" s="2117"/>
      <c r="N27" s="2117"/>
      <c r="O27" s="2126"/>
      <c r="P27" s="3412"/>
      <c r="Q27" s="1559" t="str">
        <f t="shared" si="8"/>
        <v>自然及人文环境状况</v>
      </c>
      <c r="R27" s="1560" t="s">
        <v>8</v>
      </c>
      <c r="S27" s="1561">
        <f>F27</f>
        <v>100</v>
      </c>
      <c r="T27" s="1560" t="s">
        <v>8</v>
      </c>
      <c r="U27" s="1561">
        <f>H27</f>
        <v>100</v>
      </c>
      <c r="V27" s="1560" t="s">
        <v>8</v>
      </c>
      <c r="W27" s="1561">
        <f>J27</f>
        <v>102</v>
      </c>
      <c r="X27" s="1554"/>
      <c r="Y27" s="3412"/>
      <c r="Z27" s="1562" t="str">
        <f>Q27</f>
        <v>自然及人文环境状况</v>
      </c>
      <c r="AA27" s="1563">
        <f t="shared" si="3"/>
        <v>1</v>
      </c>
      <c r="AB27" s="1563">
        <f t="shared" si="4"/>
        <v>1</v>
      </c>
      <c r="AC27" s="1563">
        <f t="shared" si="5"/>
        <v>0.98039215686274506</v>
      </c>
    </row>
    <row r="28" spans="1:29" ht="20.25">
      <c r="A28" s="515"/>
      <c r="B28" s="566"/>
      <c r="C28" s="554" t="s">
        <v>3151</v>
      </c>
      <c r="D28" s="557"/>
      <c r="E28" s="576" t="s">
        <v>3151</v>
      </c>
      <c r="F28" s="555"/>
      <c r="G28" s="554" t="s">
        <v>3151</v>
      </c>
      <c r="H28" s="555"/>
      <c r="I28" s="576" t="s">
        <v>3139</v>
      </c>
      <c r="J28" s="555"/>
      <c r="K28" s="531"/>
      <c r="L28" s="2127"/>
      <c r="M28" s="2117"/>
      <c r="N28" s="2117"/>
      <c r="O28" s="2126"/>
      <c r="P28" s="3412"/>
      <c r="Q28" s="1559"/>
      <c r="R28" s="1560"/>
      <c r="S28" s="1561"/>
      <c r="T28" s="1560"/>
      <c r="U28" s="1561"/>
      <c r="V28" s="1560"/>
      <c r="W28" s="1561"/>
      <c r="X28" s="1554"/>
      <c r="Y28" s="3412"/>
      <c r="Z28" s="1562"/>
      <c r="AA28" s="1563">
        <v>1</v>
      </c>
      <c r="AB28" s="1563">
        <v>1</v>
      </c>
      <c r="AC28" s="1563">
        <v>1</v>
      </c>
    </row>
    <row r="29" spans="1:29" s="1216" customFormat="1" ht="20.25">
      <c r="A29" s="577"/>
      <c r="B29" s="2555" t="s">
        <v>2544</v>
      </c>
      <c r="C29" s="573" t="str">
        <f>估价对象房地状况!C21</f>
        <v>较好</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20"/>
      <c r="M29" s="2117"/>
      <c r="N29" s="2117"/>
      <c r="O29" s="2122"/>
      <c r="P29" s="3412"/>
      <c r="Q29" s="1147" t="str">
        <f t="shared" si="8"/>
        <v>公共配套设施</v>
      </c>
      <c r="R29" s="1555" t="s">
        <v>8</v>
      </c>
      <c r="S29" s="1556">
        <f>F29</f>
        <v>98</v>
      </c>
      <c r="T29" s="1555" t="s">
        <v>8</v>
      </c>
      <c r="U29" s="1556">
        <f>H29</f>
        <v>98</v>
      </c>
      <c r="V29" s="1555" t="s">
        <v>8</v>
      </c>
      <c r="W29" s="1556">
        <f>J29</f>
        <v>100</v>
      </c>
      <c r="X29" s="1557"/>
      <c r="Y29" s="3412"/>
      <c r="Z29" s="1146" t="str">
        <f>Q29</f>
        <v>公共配套设施</v>
      </c>
      <c r="AA29" s="1563">
        <f>D29/F29</f>
        <v>1.0204081632653061</v>
      </c>
      <c r="AB29" s="1563">
        <f>D29/H29</f>
        <v>1.0204081632653061</v>
      </c>
      <c r="AC29" s="1563">
        <f>D29/J29</f>
        <v>1</v>
      </c>
    </row>
    <row r="30" spans="1:29" s="1216" customFormat="1" ht="20.25">
      <c r="A30" s="577"/>
      <c r="B30" s="566"/>
      <c r="C30" s="579" t="s">
        <v>3139</v>
      </c>
      <c r="D30" s="557"/>
      <c r="E30" s="576" t="s">
        <v>3151</v>
      </c>
      <c r="F30" s="555"/>
      <c r="G30" s="554" t="s">
        <v>3151</v>
      </c>
      <c r="H30" s="555"/>
      <c r="I30" s="576" t="s">
        <v>3139</v>
      </c>
      <c r="J30" s="555"/>
      <c r="K30" s="531"/>
      <c r="L30" s="2120"/>
      <c r="M30" s="2117"/>
      <c r="N30" s="2117"/>
      <c r="O30" s="2122"/>
      <c r="P30" s="3412"/>
      <c r="Q30" s="1147"/>
      <c r="R30" s="1555"/>
      <c r="S30" s="1556"/>
      <c r="T30" s="1555"/>
      <c r="U30" s="1556"/>
      <c r="V30" s="1555"/>
      <c r="W30" s="1556"/>
      <c r="X30" s="1557"/>
      <c r="Y30" s="3412"/>
      <c r="Z30" s="1146"/>
      <c r="AA30" s="1563">
        <v>1</v>
      </c>
      <c r="AB30" s="1563">
        <v>1</v>
      </c>
      <c r="AC30" s="1563">
        <v>1</v>
      </c>
    </row>
    <row r="31" spans="1:29" s="1216" customFormat="1" ht="20.25">
      <c r="A31" s="577"/>
      <c r="B31" s="2555" t="s">
        <v>2545</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12"/>
      <c r="Q31" s="2542" t="str">
        <f>B31</f>
        <v>基础设施水平</v>
      </c>
      <c r="R31" s="1555" t="s">
        <v>8</v>
      </c>
      <c r="S31" s="1556">
        <f>F31</f>
        <v>100</v>
      </c>
      <c r="T31" s="1555" t="s">
        <v>8</v>
      </c>
      <c r="U31" s="1556">
        <f>H31</f>
        <v>100</v>
      </c>
      <c r="V31" s="1555" t="s">
        <v>8</v>
      </c>
      <c r="W31" s="1556">
        <f>J31</f>
        <v>100</v>
      </c>
      <c r="X31" s="1557"/>
      <c r="Y31" s="3412"/>
      <c r="Z31" s="2539" t="str">
        <f>Q31</f>
        <v>基础设施水平</v>
      </c>
      <c r="AA31" s="1563">
        <f>D31/F31</f>
        <v>1</v>
      </c>
      <c r="AB31" s="1563">
        <f>D31/H31</f>
        <v>1</v>
      </c>
      <c r="AC31" s="1563">
        <f>D31/J31</f>
        <v>1</v>
      </c>
    </row>
    <row r="32" spans="1:29" s="1216" customFormat="1" ht="20.25">
      <c r="A32" s="577"/>
      <c r="B32" s="566"/>
      <c r="C32" s="579" t="s">
        <v>3142</v>
      </c>
      <c r="D32" s="557"/>
      <c r="E32" s="579" t="s">
        <v>3142</v>
      </c>
      <c r="F32" s="555"/>
      <c r="G32" s="579" t="s">
        <v>3142</v>
      </c>
      <c r="H32" s="555"/>
      <c r="I32" s="579" t="s">
        <v>3142</v>
      </c>
      <c r="J32" s="555"/>
      <c r="K32" s="531"/>
      <c r="L32" s="2120"/>
      <c r="M32" s="2117"/>
      <c r="N32" s="2117"/>
      <c r="O32" s="2122"/>
      <c r="P32" s="3412"/>
      <c r="Q32" s="2542"/>
      <c r="R32" s="1555"/>
      <c r="S32" s="1556"/>
      <c r="T32" s="1555"/>
      <c r="U32" s="1556"/>
      <c r="V32" s="1555"/>
      <c r="W32" s="1556"/>
      <c r="X32" s="1557"/>
      <c r="Y32" s="3412"/>
      <c r="Z32" s="2539"/>
      <c r="AA32" s="1563">
        <v>1</v>
      </c>
      <c r="AB32" s="1563">
        <v>1</v>
      </c>
      <c r="AC32" s="1563">
        <v>1</v>
      </c>
    </row>
    <row r="33" spans="1:29" ht="20.25">
      <c r="A33" s="532"/>
      <c r="B33" s="566" t="s">
        <v>547</v>
      </c>
      <c r="C33" s="580" t="s">
        <v>3026</v>
      </c>
      <c r="D33" s="575">
        <v>100</v>
      </c>
      <c r="E33" s="583" t="s">
        <v>3026</v>
      </c>
      <c r="F33" s="540">
        <f>SUMIF(106:106,E33,107:107)-SUMIF(106:106,C33,107:107)+100</f>
        <v>100</v>
      </c>
      <c r="G33" s="580" t="s">
        <v>3026</v>
      </c>
      <c r="H33" s="540">
        <f>SUMIF(106:106,G33,107:107)-SUMIF(106:106,C33,107:107)+100</f>
        <v>100</v>
      </c>
      <c r="I33" s="580" t="s">
        <v>3026</v>
      </c>
      <c r="J33" s="540">
        <f>SUMIF(106:106,I33,107:107)-SUMIF(106:106,C33,107:107)+100</f>
        <v>100</v>
      </c>
      <c r="K33" s="535">
        <v>2</v>
      </c>
      <c r="L33" s="2127"/>
      <c r="M33" s="2117"/>
      <c r="N33" s="2117"/>
      <c r="O33" s="2126"/>
      <c r="P33" s="3412"/>
      <c r="Q33" s="1559" t="str">
        <f t="shared" si="8"/>
        <v>临街状况</v>
      </c>
      <c r="R33" s="1560" t="s">
        <v>8</v>
      </c>
      <c r="S33" s="1561">
        <f t="shared" ref="S33:S47" si="9">F33</f>
        <v>100</v>
      </c>
      <c r="T33" s="1560" t="s">
        <v>8</v>
      </c>
      <c r="U33" s="1561">
        <f t="shared" ref="U33:U47" si="10">H33</f>
        <v>100</v>
      </c>
      <c r="V33" s="1560" t="s">
        <v>8</v>
      </c>
      <c r="W33" s="1561">
        <f t="shared" ref="W33:W47" si="11">J33</f>
        <v>100</v>
      </c>
      <c r="X33" s="1554"/>
      <c r="Y33" s="3412"/>
      <c r="Z33" s="1562" t="str">
        <f t="shared" ref="Z33:Z47" si="12">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104</v>
      </c>
      <c r="I34" s="564"/>
      <c r="J34" s="559">
        <f>SUMIF(108:108,I35,109:109)-SUMIF(108:108,C35,109:109)+100</f>
        <v>98</v>
      </c>
      <c r="K34" s="535">
        <v>2</v>
      </c>
      <c r="L34" s="2127"/>
      <c r="M34" s="2117"/>
      <c r="N34" s="2117"/>
      <c r="O34" s="2126"/>
      <c r="P34" s="3412"/>
      <c r="Q34" s="1559" t="str">
        <f t="shared" si="8"/>
        <v>毗邻道路的类型与等级</v>
      </c>
      <c r="R34" s="1560" t="s">
        <v>8</v>
      </c>
      <c r="S34" s="1561">
        <f t="shared" si="9"/>
        <v>100</v>
      </c>
      <c r="T34" s="1560" t="s">
        <v>8</v>
      </c>
      <c r="U34" s="1561">
        <f t="shared" si="10"/>
        <v>104</v>
      </c>
      <c r="V34" s="1560" t="s">
        <v>8</v>
      </c>
      <c r="W34" s="1561">
        <f t="shared" si="11"/>
        <v>98</v>
      </c>
      <c r="X34" s="1554"/>
      <c r="Y34" s="3412"/>
      <c r="Z34" s="1562" t="str">
        <f t="shared" si="12"/>
        <v>毗邻道路的类型与等级</v>
      </c>
      <c r="AA34" s="1563">
        <f t="shared" si="3"/>
        <v>1</v>
      </c>
      <c r="AB34" s="1563">
        <f t="shared" si="4"/>
        <v>0.96153846153846156</v>
      </c>
      <c r="AC34" s="1563">
        <f t="shared" si="5"/>
        <v>1.0204081632653061</v>
      </c>
    </row>
    <row r="35" spans="1:29" ht="20.25">
      <c r="A35" s="532"/>
      <c r="B35" s="566"/>
      <c r="C35" s="554" t="s">
        <v>3120</v>
      </c>
      <c r="D35" s="557"/>
      <c r="E35" s="576" t="s">
        <v>3120</v>
      </c>
      <c r="F35" s="555"/>
      <c r="G35" s="554" t="s">
        <v>3117</v>
      </c>
      <c r="H35" s="555"/>
      <c r="I35" s="576" t="s">
        <v>3122</v>
      </c>
      <c r="J35" s="555"/>
      <c r="K35" s="581"/>
      <c r="L35" s="2127"/>
      <c r="M35" s="2117"/>
      <c r="N35" s="2117"/>
      <c r="O35" s="2126"/>
      <c r="P35" s="3412"/>
      <c r="Q35" s="1559"/>
      <c r="R35" s="1560"/>
      <c r="S35" s="1561"/>
      <c r="T35" s="1560"/>
      <c r="U35" s="1561"/>
      <c r="V35" s="1560"/>
      <c r="W35" s="1561"/>
      <c r="X35" s="1554"/>
      <c r="Y35" s="3412"/>
      <c r="Z35" s="1562"/>
      <c r="AA35" s="1563">
        <v>1</v>
      </c>
      <c r="AB35" s="1563">
        <v>1</v>
      </c>
      <c r="AC35" s="1563">
        <v>1</v>
      </c>
    </row>
    <row r="36" spans="1:29" ht="21" thickBot="1">
      <c r="A36" s="532"/>
      <c r="B36" s="582" t="s">
        <v>549</v>
      </c>
      <c r="C36" s="580" t="s">
        <v>1407</v>
      </c>
      <c r="D36" s="575">
        <v>100</v>
      </c>
      <c r="E36" s="583" t="s">
        <v>1409</v>
      </c>
      <c r="F36" s="540">
        <f>SUMIF(110:110,E36,111:111)-SUMIF(110:110,C36,111:111)+100</f>
        <v>98</v>
      </c>
      <c r="G36" s="580" t="s">
        <v>1407</v>
      </c>
      <c r="H36" s="540">
        <f>SUMIF(110:110,G36,111:111)-SUMIF(110:110,C36,111:111)+100</f>
        <v>100</v>
      </c>
      <c r="I36" s="583" t="s">
        <v>925</v>
      </c>
      <c r="J36" s="540">
        <f>SUMIF(110:110,I36,111:111)-SUMIF(110:110,C36,111:111)+100</f>
        <v>102</v>
      </c>
      <c r="K36" s="584">
        <v>2</v>
      </c>
      <c r="L36" s="2127"/>
      <c r="M36" s="2117"/>
      <c r="N36" s="2117"/>
      <c r="O36" s="2126"/>
      <c r="P36" s="3412"/>
      <c r="Q36" s="1559" t="str">
        <f t="shared" si="8"/>
        <v>土地级别</v>
      </c>
      <c r="R36" s="1560" t="s">
        <v>8</v>
      </c>
      <c r="S36" s="1561">
        <f t="shared" si="9"/>
        <v>98</v>
      </c>
      <c r="T36" s="1560" t="s">
        <v>8</v>
      </c>
      <c r="U36" s="1561">
        <f t="shared" si="10"/>
        <v>100</v>
      </c>
      <c r="V36" s="1560" t="s">
        <v>8</v>
      </c>
      <c r="W36" s="1561">
        <f t="shared" si="11"/>
        <v>102</v>
      </c>
      <c r="X36" s="1554"/>
      <c r="Y36" s="3412"/>
      <c r="Z36" s="1562" t="str">
        <f t="shared" si="12"/>
        <v>土地级别</v>
      </c>
      <c r="AA36" s="1563">
        <f t="shared" si="3"/>
        <v>1.0204081632653061</v>
      </c>
      <c r="AB36" s="1563">
        <f t="shared" si="4"/>
        <v>1</v>
      </c>
      <c r="AC36" s="1563">
        <f t="shared" si="5"/>
        <v>0.98039215686274506</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2"/>
      <c r="Q37" s="1559">
        <f t="shared" si="8"/>
        <v>111</v>
      </c>
      <c r="R37" s="1560" t="s">
        <v>8</v>
      </c>
      <c r="S37" s="1561">
        <f t="shared" si="9"/>
        <v>100</v>
      </c>
      <c r="T37" s="1560" t="s">
        <v>8</v>
      </c>
      <c r="U37" s="1561">
        <f t="shared" si="10"/>
        <v>100</v>
      </c>
      <c r="V37" s="1560" t="s">
        <v>8</v>
      </c>
      <c r="W37" s="1561">
        <f t="shared" si="11"/>
        <v>100</v>
      </c>
      <c r="X37" s="1554"/>
      <c r="Y37" s="3412"/>
      <c r="Z37" s="1562">
        <f t="shared" si="12"/>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3" t="s">
        <v>550</v>
      </c>
      <c r="Q38" s="1559">
        <f t="shared" si="8"/>
        <v>111</v>
      </c>
      <c r="R38" s="1560" t="s">
        <v>8</v>
      </c>
      <c r="S38" s="1561">
        <f t="shared" si="9"/>
        <v>100</v>
      </c>
      <c r="T38" s="1560" t="s">
        <v>8</v>
      </c>
      <c r="U38" s="1561">
        <f t="shared" si="10"/>
        <v>100</v>
      </c>
      <c r="V38" s="1560" t="s">
        <v>8</v>
      </c>
      <c r="W38" s="1561">
        <f t="shared" si="11"/>
        <v>100</v>
      </c>
      <c r="X38" s="1554"/>
      <c r="Y38" s="3414" t="s">
        <v>550</v>
      </c>
      <c r="Z38" s="1562">
        <f t="shared" si="12"/>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4"/>
      <c r="Q39" s="1559">
        <f t="shared" si="8"/>
        <v>111</v>
      </c>
      <c r="R39" s="1564" t="s">
        <v>8</v>
      </c>
      <c r="S39" s="1565">
        <f t="shared" si="9"/>
        <v>100</v>
      </c>
      <c r="T39" s="1564" t="s">
        <v>8</v>
      </c>
      <c r="U39" s="1565">
        <f t="shared" si="10"/>
        <v>100</v>
      </c>
      <c r="V39" s="1564" t="s">
        <v>8</v>
      </c>
      <c r="W39" s="1565">
        <f t="shared" si="11"/>
        <v>100</v>
      </c>
      <c r="X39" s="1566"/>
      <c r="Y39" s="3414"/>
      <c r="Z39" s="1567">
        <f t="shared" si="12"/>
        <v>111</v>
      </c>
      <c r="AA39" s="1563">
        <f t="shared" si="3"/>
        <v>1</v>
      </c>
      <c r="AB39" s="1563">
        <f t="shared" si="4"/>
        <v>1</v>
      </c>
      <c r="AC39" s="1563">
        <f t="shared" si="5"/>
        <v>1</v>
      </c>
    </row>
    <row r="40" spans="1:29" ht="20.25">
      <c r="A40" s="2862" t="s">
        <v>2749</v>
      </c>
      <c r="B40" s="595" t="s">
        <v>552</v>
      </c>
      <c r="C40" s="596">
        <f>'数据-基础表'!A3</f>
        <v>21023.4</v>
      </c>
      <c r="D40" s="597">
        <v>100</v>
      </c>
      <c r="E40" s="596">
        <f>土地案例!D8+土地案例!D9</f>
        <v>101830.35</v>
      </c>
      <c r="F40" s="597">
        <f>LOOKUP(E40,119:119,120:120)-LOOKUP(C40,119:119,120:120)+100</f>
        <v>106</v>
      </c>
      <c r="G40" s="596">
        <f>土地案例!D12</f>
        <v>21975.01</v>
      </c>
      <c r="H40" s="597">
        <f>LOOKUP(G40,119:119,120:120)-LOOKUP(C40,119:119,120:120)+100</f>
        <v>100</v>
      </c>
      <c r="I40" s="598">
        <f>土地案例!D13</f>
        <v>36708.14</v>
      </c>
      <c r="J40" s="597">
        <f>LOOKUP(I40,119:119,120:120)-LOOKUP(C40,119:119,120:120)+100</f>
        <v>100</v>
      </c>
      <c r="K40" s="581"/>
      <c r="L40" s="2127"/>
      <c r="M40" s="2117"/>
      <c r="N40" s="2117"/>
      <c r="O40" s="2126"/>
      <c r="P40" s="3414"/>
      <c r="Q40" s="1559" t="str">
        <f>B40</f>
        <v>宗地面积</v>
      </c>
      <c r="R40" s="1560" t="s">
        <v>8</v>
      </c>
      <c r="S40" s="1561">
        <f t="shared" si="9"/>
        <v>106</v>
      </c>
      <c r="T40" s="1560" t="s">
        <v>8</v>
      </c>
      <c r="U40" s="1561">
        <f t="shared" si="10"/>
        <v>100</v>
      </c>
      <c r="V40" s="1560" t="s">
        <v>8</v>
      </c>
      <c r="W40" s="1561">
        <f t="shared" si="11"/>
        <v>100</v>
      </c>
      <c r="X40" s="1554"/>
      <c r="Y40" s="3414"/>
      <c r="Z40" s="1562" t="str">
        <f t="shared" si="12"/>
        <v>宗地面积</v>
      </c>
      <c r="AA40" s="1563">
        <f t="shared" si="3"/>
        <v>0.94339622641509435</v>
      </c>
      <c r="AB40" s="1563">
        <f t="shared" si="4"/>
        <v>1</v>
      </c>
      <c r="AC40" s="1563">
        <f t="shared" si="5"/>
        <v>1</v>
      </c>
    </row>
    <row r="41" spans="1:29" ht="20.25">
      <c r="A41" s="594"/>
      <c r="B41" s="527" t="s">
        <v>553</v>
      </c>
      <c r="C41" s="599" t="s">
        <v>3128</v>
      </c>
      <c r="D41" s="540">
        <v>100</v>
      </c>
      <c r="E41" s="599" t="s">
        <v>3128</v>
      </c>
      <c r="F41" s="540">
        <f>SUMIF(121:121,E41,122:122)-SUMIF(121:121,C41,122:122)+100</f>
        <v>100</v>
      </c>
      <c r="G41" s="599" t="s">
        <v>3128</v>
      </c>
      <c r="H41" s="540">
        <f>SUMIF(121:121,G41,122:122)-SUMIF(121:121,C41,122:122)+100</f>
        <v>100</v>
      </c>
      <c r="I41" s="599" t="s">
        <v>3128</v>
      </c>
      <c r="J41" s="540">
        <f>SUMIF(121:121,I41,122:122)-SUMIF(121:121,C41,122:122)+100</f>
        <v>100</v>
      </c>
      <c r="K41" s="584">
        <v>2</v>
      </c>
      <c r="L41" s="2127"/>
      <c r="M41" s="2117"/>
      <c r="N41" s="2117"/>
      <c r="O41" s="2126"/>
      <c r="P41" s="3414"/>
      <c r="Q41" s="1559" t="str">
        <f t="shared" ref="Q41:Q47" si="13">B41</f>
        <v>宗地形状</v>
      </c>
      <c r="R41" s="1560" t="s">
        <v>8</v>
      </c>
      <c r="S41" s="1561">
        <f t="shared" si="9"/>
        <v>100</v>
      </c>
      <c r="T41" s="1560" t="s">
        <v>8</v>
      </c>
      <c r="U41" s="1561">
        <f t="shared" si="10"/>
        <v>100</v>
      </c>
      <c r="V41" s="1560" t="s">
        <v>8</v>
      </c>
      <c r="W41" s="1561">
        <f t="shared" si="11"/>
        <v>100</v>
      </c>
      <c r="X41" s="1554"/>
      <c r="Y41" s="3414"/>
      <c r="Z41" s="1562" t="str">
        <f t="shared" si="12"/>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7"/>
      <c r="M42" s="2117"/>
      <c r="N42" s="2117"/>
      <c r="O42" s="2126"/>
      <c r="P42" s="3414"/>
      <c r="Q42" s="1559" t="str">
        <f t="shared" si="13"/>
        <v>临街宽度及深度</v>
      </c>
      <c r="R42" s="1560" t="s">
        <v>8</v>
      </c>
      <c r="S42" s="1561">
        <f t="shared" si="9"/>
        <v>100</v>
      </c>
      <c r="T42" s="1560" t="s">
        <v>8</v>
      </c>
      <c r="U42" s="1561">
        <f t="shared" si="10"/>
        <v>100</v>
      </c>
      <c r="V42" s="1560" t="s">
        <v>8</v>
      </c>
      <c r="W42" s="1561">
        <f t="shared" si="11"/>
        <v>100</v>
      </c>
      <c r="X42" s="1554"/>
      <c r="Y42" s="3414"/>
      <c r="Z42" s="1562" t="str">
        <f t="shared" si="12"/>
        <v>临街宽度及深度</v>
      </c>
      <c r="AA42" s="1563">
        <f t="shared" si="3"/>
        <v>1</v>
      </c>
      <c r="AB42" s="1563">
        <f t="shared" si="4"/>
        <v>1</v>
      </c>
      <c r="AC42" s="1563">
        <f t="shared" si="5"/>
        <v>1</v>
      </c>
    </row>
    <row r="43" spans="1:29" s="1216" customFormat="1" ht="20.25">
      <c r="A43" s="600"/>
      <c r="B43" s="1880" t="s">
        <v>2420</v>
      </c>
      <c r="C43" s="601" t="s">
        <v>3148</v>
      </c>
      <c r="D43" s="255">
        <v>100</v>
      </c>
      <c r="E43" s="601" t="s">
        <v>3148</v>
      </c>
      <c r="F43" s="540">
        <f>SUMIF(125:125,E43,126:126)-SUMIF(125:125,C43,126:126)+100</f>
        <v>100</v>
      </c>
      <c r="G43" s="601" t="s">
        <v>3148</v>
      </c>
      <c r="H43" s="540">
        <f>SUMIF(125:125,G43,126:126)-SUMIF(125:125,C43,126:126)+100</f>
        <v>100</v>
      </c>
      <c r="I43" s="601" t="s">
        <v>3148</v>
      </c>
      <c r="J43" s="540">
        <f>SUMIF(125:125,I43,126:126)-SUMIF(125:125,C43,126:126)+100</f>
        <v>100</v>
      </c>
      <c r="K43" s="584">
        <v>2</v>
      </c>
      <c r="L43" s="2120"/>
      <c r="M43" s="2117"/>
      <c r="N43" s="2117"/>
      <c r="O43" s="2122"/>
      <c r="P43" s="3414"/>
      <c r="Q43" s="1559" t="str">
        <f t="shared" si="13"/>
        <v>宗地开发程度</v>
      </c>
      <c r="R43" s="1555" t="s">
        <v>8</v>
      </c>
      <c r="S43" s="1556">
        <f t="shared" si="9"/>
        <v>100</v>
      </c>
      <c r="T43" s="1555" t="s">
        <v>8</v>
      </c>
      <c r="U43" s="1556">
        <f t="shared" si="10"/>
        <v>100</v>
      </c>
      <c r="V43" s="1555" t="s">
        <v>8</v>
      </c>
      <c r="W43" s="1556">
        <f t="shared" si="11"/>
        <v>100</v>
      </c>
      <c r="X43" s="1557"/>
      <c r="Y43" s="3414"/>
      <c r="Z43" s="1146" t="str">
        <f t="shared" si="12"/>
        <v>宗地开发程度</v>
      </c>
      <c r="AA43" s="1558">
        <f t="shared" si="3"/>
        <v>1</v>
      </c>
      <c r="AB43" s="1558">
        <f t="shared" si="4"/>
        <v>1</v>
      </c>
      <c r="AC43" s="1558">
        <f t="shared" si="5"/>
        <v>1</v>
      </c>
    </row>
    <row r="44" spans="1:29" ht="20.25">
      <c r="A44" s="594"/>
      <c r="B44" s="527" t="s">
        <v>555</v>
      </c>
      <c r="C44" s="599" t="s">
        <v>3139</v>
      </c>
      <c r="D44" s="540">
        <v>100</v>
      </c>
      <c r="E44" s="599" t="s">
        <v>3139</v>
      </c>
      <c r="F44" s="540">
        <f>SUMIF(127:127,E44,128:128)-SUMIF(127:127,C44,128:128)+100</f>
        <v>100</v>
      </c>
      <c r="G44" s="599" t="s">
        <v>3139</v>
      </c>
      <c r="H44" s="540">
        <f>SUMIF(127:127,G44,128:128)-SUMIF(127:127,C44,128:128)+100</f>
        <v>100</v>
      </c>
      <c r="I44" s="599" t="s">
        <v>3139</v>
      </c>
      <c r="J44" s="540">
        <f>SUMIF(127:127,I44,128:128)-SUMIF(127:127,C44,128:128)+100</f>
        <v>100</v>
      </c>
      <c r="K44" s="584">
        <v>2</v>
      </c>
      <c r="L44" s="2127"/>
      <c r="M44" s="2117"/>
      <c r="N44" s="2117"/>
      <c r="O44" s="2126"/>
      <c r="P44" s="3414" t="s">
        <v>550</v>
      </c>
      <c r="Q44" s="1559" t="str">
        <f t="shared" si="13"/>
        <v>工程地质条件</v>
      </c>
      <c r="R44" s="1560" t="s">
        <v>8</v>
      </c>
      <c r="S44" s="1561">
        <f t="shared" si="9"/>
        <v>100</v>
      </c>
      <c r="T44" s="1560" t="s">
        <v>8</v>
      </c>
      <c r="U44" s="1561">
        <f t="shared" si="10"/>
        <v>100</v>
      </c>
      <c r="V44" s="1560" t="s">
        <v>8</v>
      </c>
      <c r="W44" s="1561">
        <f t="shared" si="11"/>
        <v>100</v>
      </c>
      <c r="X44" s="1554"/>
      <c r="Y44" s="3414" t="s">
        <v>550</v>
      </c>
      <c r="Z44" s="1562" t="str">
        <f t="shared" si="12"/>
        <v>工程地质条件</v>
      </c>
      <c r="AA44" s="1563">
        <f t="shared" si="3"/>
        <v>1</v>
      </c>
      <c r="AB44" s="1563">
        <f t="shared" si="4"/>
        <v>1</v>
      </c>
      <c r="AC44" s="1563">
        <f t="shared" si="5"/>
        <v>1</v>
      </c>
    </row>
    <row r="45" spans="1:29" ht="20.25">
      <c r="A45" s="594"/>
      <c r="B45" s="602" t="s">
        <v>3154</v>
      </c>
      <c r="C45" s="3212" t="s">
        <v>3155</v>
      </c>
      <c r="D45" s="540">
        <v>100</v>
      </c>
      <c r="E45" s="3212" t="s">
        <v>3157</v>
      </c>
      <c r="F45" s="540">
        <f>SUMIF(129:129,E45,130:130)-SUMIF(129:129,C45,130:130)+100</f>
        <v>98</v>
      </c>
      <c r="G45" s="3212" t="s">
        <v>3158</v>
      </c>
      <c r="H45" s="540">
        <f>SUMIF(129:129,G45,130:130)-SUMIF(129:129,C45,130:130)+100</f>
        <v>98</v>
      </c>
      <c r="I45" s="3207" t="s">
        <v>3158</v>
      </c>
      <c r="J45" s="540">
        <f>SUMIF(129:129,I45,130:130)-SUMIF(129:129,C45,130:130)+100</f>
        <v>98</v>
      </c>
      <c r="K45" s="581"/>
      <c r="L45" s="2127"/>
      <c r="M45" s="2117"/>
      <c r="N45" s="2117"/>
      <c r="O45" s="2126"/>
      <c r="P45" s="3414"/>
      <c r="Q45" s="1559" t="str">
        <f t="shared" si="13"/>
        <v>70/90限制</v>
      </c>
      <c r="R45" s="1560" t="s">
        <v>8</v>
      </c>
      <c r="S45" s="1561">
        <f t="shared" si="9"/>
        <v>98</v>
      </c>
      <c r="T45" s="1560" t="s">
        <v>8</v>
      </c>
      <c r="U45" s="1561">
        <f t="shared" si="10"/>
        <v>98</v>
      </c>
      <c r="V45" s="1560" t="s">
        <v>8</v>
      </c>
      <c r="W45" s="1561">
        <f t="shared" si="11"/>
        <v>98</v>
      </c>
      <c r="X45" s="1554"/>
      <c r="Y45" s="3414"/>
      <c r="Z45" s="1562" t="str">
        <f t="shared" si="12"/>
        <v>70/90限制</v>
      </c>
      <c r="AA45" s="1563">
        <f t="shared" si="3"/>
        <v>1.0204081632653061</v>
      </c>
      <c r="AB45" s="1563">
        <f t="shared" si="4"/>
        <v>1.0204081632653061</v>
      </c>
      <c r="AC45" s="1563">
        <f t="shared" si="5"/>
        <v>1.0204081632653061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4"/>
      <c r="Q46" s="1559">
        <f t="shared" si="13"/>
        <v>111</v>
      </c>
      <c r="R46" s="1560" t="s">
        <v>8</v>
      </c>
      <c r="S46" s="1561">
        <f t="shared" si="9"/>
        <v>100</v>
      </c>
      <c r="T46" s="1560" t="s">
        <v>8</v>
      </c>
      <c r="U46" s="1561">
        <f t="shared" si="10"/>
        <v>100</v>
      </c>
      <c r="V46" s="1560" t="s">
        <v>8</v>
      </c>
      <c r="W46" s="1561">
        <f t="shared" si="11"/>
        <v>100</v>
      </c>
      <c r="X46" s="1554"/>
      <c r="Y46" s="3414"/>
      <c r="Z46" s="1562">
        <f t="shared" si="12"/>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4"/>
      <c r="Q47" s="1559">
        <f t="shared" si="13"/>
        <v>111</v>
      </c>
      <c r="R47" s="1564" t="s">
        <v>8</v>
      </c>
      <c r="S47" s="1565">
        <f t="shared" si="9"/>
        <v>100</v>
      </c>
      <c r="T47" s="1564" t="s">
        <v>8</v>
      </c>
      <c r="U47" s="1565">
        <f t="shared" si="10"/>
        <v>100</v>
      </c>
      <c r="V47" s="1564" t="s">
        <v>8</v>
      </c>
      <c r="W47" s="1565">
        <f t="shared" si="11"/>
        <v>100</v>
      </c>
      <c r="X47" s="1566"/>
      <c r="Y47" s="3414"/>
      <c r="Z47" s="1567">
        <f t="shared" si="12"/>
        <v>111</v>
      </c>
      <c r="AA47" s="1563">
        <f t="shared" si="3"/>
        <v>1</v>
      </c>
      <c r="AB47" s="1563">
        <f t="shared" si="4"/>
        <v>1</v>
      </c>
      <c r="AC47" s="1563">
        <f t="shared" si="5"/>
        <v>1</v>
      </c>
    </row>
    <row r="48" spans="1:29" ht="20.25">
      <c r="A48" s="607" t="s">
        <v>556</v>
      </c>
      <c r="B48" s="608" t="s">
        <v>3164</v>
      </c>
      <c r="C48" s="609" t="s">
        <v>1</v>
      </c>
      <c r="D48" s="610"/>
      <c r="E48" s="611">
        <f>土地案例!Q8</f>
        <v>44254</v>
      </c>
      <c r="F48" s="612"/>
      <c r="G48" s="613">
        <f>土地案例!Q12</f>
        <v>49395</v>
      </c>
      <c r="H48" s="614"/>
      <c r="I48" s="611">
        <f>土地案例!Q13</f>
        <v>62405</v>
      </c>
      <c r="J48" s="614"/>
      <c r="K48" s="1336"/>
      <c r="L48" s="2129"/>
      <c r="M48" s="2117"/>
      <c r="N48" s="2117"/>
      <c r="O48" s="2130"/>
      <c r="P48" s="3409" t="str">
        <f>A48</f>
        <v>成交单价</v>
      </c>
      <c r="Q48" s="3409"/>
      <c r="R48" s="3423">
        <f>E48</f>
        <v>44254</v>
      </c>
      <c r="S48" s="3423"/>
      <c r="T48" s="3423">
        <f>G48</f>
        <v>49395</v>
      </c>
      <c r="U48" s="3423"/>
      <c r="V48" s="3423">
        <f>I48</f>
        <v>62405</v>
      </c>
      <c r="W48" s="3423"/>
      <c r="X48" s="1546"/>
      <c r="Y48" s="1568"/>
      <c r="Z48" s="1546"/>
      <c r="AA48" s="1546"/>
      <c r="AB48" s="1546"/>
      <c r="AC48" s="1546"/>
    </row>
    <row r="49" spans="1:29" ht="21" thickBot="1">
      <c r="A49" s="615" t="s">
        <v>2687</v>
      </c>
      <c r="B49" s="616"/>
      <c r="C49" s="617">
        <f>R50</f>
        <v>59517</v>
      </c>
      <c r="D49" s="618"/>
      <c r="E49" s="617">
        <f>R49</f>
        <v>53866</v>
      </c>
      <c r="F49" s="619"/>
      <c r="G49" s="620">
        <f>T49</f>
        <v>55309</v>
      </c>
      <c r="H49" s="618"/>
      <c r="I49" s="617">
        <f>V49</f>
        <v>69376</v>
      </c>
      <c r="J49" s="618"/>
      <c r="K49" s="1337"/>
      <c r="L49" s="2129"/>
      <c r="M49" s="2117"/>
      <c r="N49" s="2117"/>
      <c r="O49" s="2130"/>
      <c r="P49" s="3409" t="str">
        <f>A49</f>
        <v>比较价格（元/平方米）</v>
      </c>
      <c r="Q49" s="3409"/>
      <c r="R49" s="3434">
        <f>ROUND(PRODUCT(R48,AA9:AA47),0)</f>
        <v>53866</v>
      </c>
      <c r="S49" s="3434"/>
      <c r="T49" s="3434">
        <f>ROUND(PRODUCT(T48,AB9:AB47),0)</f>
        <v>55309</v>
      </c>
      <c r="U49" s="3434"/>
      <c r="V49" s="3434">
        <f>ROUND(PRODUCT(V48,AC9:AC47),0)</f>
        <v>69376</v>
      </c>
      <c r="W49" s="3434"/>
      <c r="X49" s="1546"/>
      <c r="Y49" s="1546"/>
      <c r="Z49" s="1546"/>
      <c r="AA49" s="1546"/>
      <c r="AB49" s="1546"/>
      <c r="AC49" s="1546"/>
    </row>
    <row r="50" spans="1:29" ht="21" thickBot="1">
      <c r="A50" s="621" t="s">
        <v>3166</v>
      </c>
      <c r="B50" s="622"/>
      <c r="C50" s="623">
        <f>R50</f>
        <v>59517</v>
      </c>
      <c r="D50" s="623"/>
      <c r="E50" s="623"/>
      <c r="F50" s="623"/>
      <c r="G50" s="623"/>
      <c r="H50" s="623"/>
      <c r="I50" s="623"/>
      <c r="J50" s="623"/>
      <c r="K50" s="1338"/>
      <c r="L50" s="2129"/>
      <c r="M50" s="2117"/>
      <c r="N50" s="2117"/>
      <c r="O50" s="2130"/>
      <c r="P50" s="3431" t="str">
        <f>A50</f>
        <v>估价对象住宅用房的比较价格（楼面单价，元/平方米）</v>
      </c>
      <c r="Q50" s="3432"/>
      <c r="R50" s="3433">
        <f>ROUND(AVERAGE(R49:V49),0)</f>
        <v>59517</v>
      </c>
      <c r="S50" s="3433"/>
      <c r="T50" s="3433"/>
      <c r="U50" s="3433"/>
      <c r="V50" s="3433"/>
      <c r="W50" s="3433"/>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0.21720070502101496</v>
      </c>
      <c r="F53" s="627" t="str">
        <f>IF(OR(E53&gt;=0.3,E53&lt;=-0.3),"超过30%","")</f>
        <v/>
      </c>
      <c r="G53" s="626">
        <f>IF(G48&lt;G49,G49/G48-1,G48/G49-1)</f>
        <v>0.11972871748152647</v>
      </c>
      <c r="H53" s="627" t="str">
        <f>IF(OR(G53&gt;=0.3,G53&lt;=-0.3),"超过30%","")</f>
        <v/>
      </c>
      <c r="I53" s="626">
        <f>IF(I48&lt;I49,I49/I48-1,I48/I49-1)</f>
        <v>0.11170579280506376</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2.6788697879924328E-2</v>
      </c>
      <c r="F54" s="627" t="str">
        <f>IF(OR(E54&gt;=0.2,E54&lt;=-0.2),"超过20%","")</f>
        <v/>
      </c>
      <c r="G54" s="626">
        <f>IF(G49&lt;I49,I49/G49-1,G49/I49-1)</f>
        <v>0.25433473756531488</v>
      </c>
      <c r="H54" s="627" t="str">
        <f>IF(OR(G54&gt;=0.2,G54&lt;=-0.2),"超过20%","")</f>
        <v>超过20%</v>
      </c>
      <c r="I54" s="626">
        <f>IF(I49&lt;E49,E49/I49-1,I49/E49-1)</f>
        <v>0.28793673189024616</v>
      </c>
      <c r="J54" s="627" t="str">
        <f>IF(OR(I54&gt;=0.2,I54&lt;=-0.2),"超过20%","")</f>
        <v>超过20%</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0.11617028969132726</v>
      </c>
      <c r="F55" s="627" t="str">
        <f>IF(OR(E55&gt;=0.3,E55&lt;=-0.3),"超过30%","")</f>
        <v/>
      </c>
      <c r="G55" s="626">
        <f>IF(G48&lt;I48,I48/G48-1,G48/I48-1)</f>
        <v>0.2633869824881061</v>
      </c>
      <c r="H55" s="627" t="str">
        <f>IF(OR(G55&gt;=0.3,G55&lt;=-0.3),"超过30%","")</f>
        <v/>
      </c>
      <c r="I55" s="626">
        <f>IF(I48&lt;E48,E48/I48-1,I48/E48-1)</f>
        <v>0.41015501423600131</v>
      </c>
      <c r="J55" s="627" t="str">
        <f>IF(OR(I55&gt;=0.3,I55&lt;=-0.3),"超过30%","")</f>
        <v>超过30%</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2289</v>
      </c>
      <c r="E57" s="631" t="s">
        <v>562</v>
      </c>
      <c r="F57" s="632" t="s">
        <v>563</v>
      </c>
      <c r="G57" s="3393" t="s">
        <v>2277</v>
      </c>
      <c r="H57" s="3394"/>
      <c r="I57" s="1542" t="s">
        <v>1722</v>
      </c>
      <c r="J57" s="1542">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59517</v>
      </c>
      <c r="C58" s="635">
        <v>1</v>
      </c>
      <c r="D58" s="2213">
        <v>1</v>
      </c>
      <c r="E58" s="635">
        <f>'数据-汇总表'!E8+'数据-汇总表'!E9</f>
        <v>48430</v>
      </c>
      <c r="F58" s="636">
        <f t="shared" ref="F58:F67" si="14">ROUND(B58*E58/10000,0)</f>
        <v>288241</v>
      </c>
      <c r="G58" s="3395"/>
      <c r="H58" s="3396"/>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10415</v>
      </c>
      <c r="C59" s="378">
        <f t="shared" ref="C59:C67" si="15">IF($C$57="北京市系数",I59,J59)</f>
        <v>0.7</v>
      </c>
      <c r="D59" s="2214">
        <v>0.25</v>
      </c>
      <c r="E59" s="639">
        <v>0</v>
      </c>
      <c r="F59" s="636">
        <f t="shared" si="14"/>
        <v>0</v>
      </c>
      <c r="G59" s="3397" t="s">
        <v>2278</v>
      </c>
      <c r="H59" s="1933" t="str">
        <f>项目基本情况!B43</f>
        <v>六级</v>
      </c>
      <c r="I59" s="1543">
        <f>SUMIF(修正!$A$45:$A$56,H59,修正!B45:B56)</f>
        <v>0.7</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6">ROUND($C$50*C60*D60,0)</f>
        <v>5952</v>
      </c>
      <c r="C60" s="378">
        <f t="shared" si="15"/>
        <v>0.4</v>
      </c>
      <c r="D60" s="2214">
        <v>0.25</v>
      </c>
      <c r="E60" s="639">
        <v>0</v>
      </c>
      <c r="F60" s="636">
        <f t="shared" si="14"/>
        <v>0</v>
      </c>
      <c r="G60" s="3397"/>
      <c r="H60" s="1933" t="str">
        <f>项目基本情况!B43</f>
        <v>六级</v>
      </c>
      <c r="I60" s="1543">
        <f>SUMIF(修正!$A$45:$A$56,H60,修正!C45:C56)</f>
        <v>0.4</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6"/>
        <v>4166</v>
      </c>
      <c r="C61" s="378">
        <f t="shared" si="15"/>
        <v>0.28000000000000003</v>
      </c>
      <c r="D61" s="2214">
        <v>0.25</v>
      </c>
      <c r="E61" s="639">
        <v>0</v>
      </c>
      <c r="F61" s="636">
        <f t="shared" si="14"/>
        <v>0</v>
      </c>
      <c r="G61" s="3397"/>
      <c r="H61" s="1933" t="str">
        <f>项目基本情况!B43</f>
        <v>六级</v>
      </c>
      <c r="I61" s="1543">
        <f>SUMIF(修正!$A$45:$A$56,H61,修正!D45:D56)</f>
        <v>0.28000000000000003</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6"/>
        <v>3720</v>
      </c>
      <c r="C62" s="378">
        <f t="shared" si="15"/>
        <v>0.25</v>
      </c>
      <c r="D62" s="2214">
        <v>0.25</v>
      </c>
      <c r="E62" s="639">
        <v>0</v>
      </c>
      <c r="F62" s="636">
        <f t="shared" si="14"/>
        <v>0</v>
      </c>
      <c r="G62" s="3397"/>
      <c r="H62" s="1933" t="str">
        <f>项目基本情况!B43</f>
        <v>六级</v>
      </c>
      <c r="I62" s="1543">
        <f>SUMIF(修正!$A$45:$A$56,H62,修正!E45:E56)</f>
        <v>0.25</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2324</v>
      </c>
      <c r="B63" s="638">
        <f t="shared" si="16"/>
        <v>3720</v>
      </c>
      <c r="C63" s="378">
        <f t="shared" si="15"/>
        <v>0.25</v>
      </c>
      <c r="D63" s="2214">
        <v>0.25</v>
      </c>
      <c r="E63" s="641">
        <f>'数据-汇总表'!E11</f>
        <v>0</v>
      </c>
      <c r="F63" s="636">
        <f t="shared" si="14"/>
        <v>0</v>
      </c>
      <c r="G63" s="1930" t="s">
        <v>2279</v>
      </c>
      <c r="H63" s="1933" t="str">
        <f>项目基本情况!C43</f>
        <v>六级</v>
      </c>
      <c r="I63" s="1543">
        <f>SUMIF(修正!$A$45:$A$56,H63,修正!F45:F56)</f>
        <v>0.25</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6"/>
        <v>3720</v>
      </c>
      <c r="C64" s="378">
        <f t="shared" si="15"/>
        <v>0.25</v>
      </c>
      <c r="D64" s="2214">
        <v>0.25</v>
      </c>
      <c r="E64" s="641">
        <f>'数据-汇总表'!E12</f>
        <v>0</v>
      </c>
      <c r="F64" s="636">
        <f t="shared" si="14"/>
        <v>0</v>
      </c>
      <c r="G64" s="1931" t="s">
        <v>1677</v>
      </c>
      <c r="H64" s="1929" t="str">
        <f>IF(G64="商业",项目基本情况!B43,IF(G64="办公",项目基本情况!C43,IF(G64="住宅",项目基本情况!D43,项目基本情况!E43)))</f>
        <v>六级</v>
      </c>
      <c r="I64" s="1543">
        <f>SUMIF(修正!$A$45:$A$56,H64,修正!G45:G56)</f>
        <v>0.25</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6"/>
        <v>2976</v>
      </c>
      <c r="C65" s="378">
        <f t="shared" si="15"/>
        <v>0.2</v>
      </c>
      <c r="D65" s="2214">
        <v>0.25</v>
      </c>
      <c r="E65" s="641">
        <f>'数据-汇总表'!E13</f>
        <v>0</v>
      </c>
      <c r="F65" s="636">
        <f t="shared" si="14"/>
        <v>0</v>
      </c>
      <c r="G65" s="1931" t="s">
        <v>923</v>
      </c>
      <c r="H65" s="1929" t="str">
        <f>IF(G65="商业",项目基本情况!B43,IF(G65="办公",项目基本情况!C43,IF(G65="住宅",项目基本情况!D43,项目基本情况!E43)))</f>
        <v>六级</v>
      </c>
      <c r="I65" s="1543">
        <f>SUMIF(修正!$A$45:$A$56,H65,修正!H45:H56)</f>
        <v>0.2</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6"/>
        <v>2976</v>
      </c>
      <c r="C66" s="378">
        <f t="shared" si="15"/>
        <v>0.2</v>
      </c>
      <c r="D66" s="2214">
        <v>0.25</v>
      </c>
      <c r="E66" s="641">
        <f>'数据-汇总表'!E14</f>
        <v>0</v>
      </c>
      <c r="F66" s="636">
        <f t="shared" si="14"/>
        <v>0</v>
      </c>
      <c r="G66" s="1930" t="s">
        <v>2278</v>
      </c>
      <c r="H66" s="1933" t="str">
        <f>项目基本情况!B43</f>
        <v>六级</v>
      </c>
      <c r="I66" s="1543">
        <f>SUMIF(修正!$A$45:$A$56,H66,修正!H45:H56)</f>
        <v>0.2</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6"/>
        <v>2976</v>
      </c>
      <c r="C67" s="378">
        <f t="shared" si="15"/>
        <v>0.2</v>
      </c>
      <c r="D67" s="2214">
        <v>0.25</v>
      </c>
      <c r="E67" s="641">
        <f>'数据-汇总表'!E15</f>
        <v>0</v>
      </c>
      <c r="F67" s="636">
        <f t="shared" si="14"/>
        <v>0</v>
      </c>
      <c r="G67" s="1932" t="s">
        <v>2279</v>
      </c>
      <c r="H67" s="1934" t="str">
        <f>项目基本情况!C43</f>
        <v>六级</v>
      </c>
      <c r="I67" s="1543">
        <f>SUMIF(修正!$A$45:$A$56,H67,修正!H45:H56)</f>
        <v>0.2</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2290</v>
      </c>
      <c r="E68" s="643">
        <f>IF(B48="楼面地价",SUM(E58:E67),'数据-汇总表'!D3)</f>
        <v>48430</v>
      </c>
      <c r="F68" s="644">
        <f>IF(B48="楼面地价",SUM(F58:F67),ROUND(C50*E68/10000,0))</f>
        <v>288241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7">EDATE(D70,-3)</f>
        <v>43709</v>
      </c>
      <c r="F70" s="2754">
        <f t="shared" si="17"/>
        <v>43617</v>
      </c>
      <c r="G70" s="2754">
        <f t="shared" si="17"/>
        <v>43525</v>
      </c>
      <c r="H70" s="2754">
        <f t="shared" si="17"/>
        <v>43435</v>
      </c>
      <c r="I70" s="2754">
        <f t="shared" si="17"/>
        <v>43344</v>
      </c>
      <c r="J70" s="2754">
        <f t="shared" si="17"/>
        <v>43252</v>
      </c>
      <c r="K70" s="2754">
        <f t="shared" si="17"/>
        <v>43160</v>
      </c>
      <c r="L70" s="2754">
        <f t="shared" si="17"/>
        <v>43070</v>
      </c>
      <c r="M70" s="2754">
        <f t="shared" si="17"/>
        <v>42979</v>
      </c>
      <c r="N70" s="2754">
        <f t="shared" si="17"/>
        <v>42887</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2528</v>
      </c>
      <c r="B72" s="2533"/>
      <c r="C72" s="2750" t="str">
        <f>YEAR(C70)&amp;"-"&amp;ROUNDUP(MONTH(C70)/3,0)</f>
        <v>2020-1</v>
      </c>
      <c r="D72" s="2756" t="str">
        <f>YEAR(D70)&amp;"-"&amp;ROUNDUP(MONTH(D70)/3,0)</f>
        <v>2019-4</v>
      </c>
      <c r="E72" s="2756" t="str">
        <f t="shared" ref="E72:N72" si="18">YEAR(E70)&amp;"-"&amp;ROUNDUP(MONTH(E70)/3,0)</f>
        <v>2019-3</v>
      </c>
      <c r="F72" s="2756" t="str">
        <f t="shared" si="18"/>
        <v>2019-2</v>
      </c>
      <c r="G72" s="2756" t="str">
        <f t="shared" si="18"/>
        <v>2019-1</v>
      </c>
      <c r="H72" s="2756" t="str">
        <f t="shared" si="18"/>
        <v>2018-4</v>
      </c>
      <c r="I72" s="2756" t="str">
        <f t="shared" si="18"/>
        <v>2018-3</v>
      </c>
      <c r="J72" s="2756" t="str">
        <f t="shared" si="18"/>
        <v>2018-2</v>
      </c>
      <c r="K72" s="2756" t="str">
        <f t="shared" si="18"/>
        <v>2018-1</v>
      </c>
      <c r="L72" s="2756" t="str">
        <f t="shared" si="18"/>
        <v>2017-4</v>
      </c>
      <c r="M72" s="2756" t="str">
        <f t="shared" si="18"/>
        <v>2017-3</v>
      </c>
      <c r="N72" s="2756" t="str">
        <f t="shared" si="18"/>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923</v>
      </c>
      <c r="B73" s="479" t="str">
        <f>"北京市平均增长率"&amp;TEXT(SUMIF(基准地价!N21:N25,A73,基准地价!P21:P25),"0.00%")</f>
        <v>北京市平均增长率2.08%</v>
      </c>
      <c r="C73" s="894">
        <v>100</v>
      </c>
      <c r="D73" s="3211">
        <f>C73-$C$74</f>
        <v>99.5</v>
      </c>
      <c r="E73" s="3211">
        <f t="shared" ref="E73:N73" si="19">D73-$C$74</f>
        <v>99</v>
      </c>
      <c r="F73" s="3211">
        <f t="shared" si="19"/>
        <v>98.5</v>
      </c>
      <c r="G73" s="3211">
        <f t="shared" si="19"/>
        <v>98</v>
      </c>
      <c r="H73" s="3211">
        <f t="shared" si="19"/>
        <v>97.5</v>
      </c>
      <c r="I73" s="3211">
        <f t="shared" si="19"/>
        <v>97</v>
      </c>
      <c r="J73" s="3211">
        <f t="shared" si="19"/>
        <v>96.5</v>
      </c>
      <c r="K73" s="3211">
        <f t="shared" si="19"/>
        <v>96</v>
      </c>
      <c r="L73" s="3211">
        <f t="shared" si="19"/>
        <v>95.5</v>
      </c>
      <c r="M73" s="3211">
        <f t="shared" si="19"/>
        <v>95</v>
      </c>
      <c r="N73" s="3211">
        <f t="shared" si="19"/>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2641</v>
      </c>
      <c r="B74" s="2760"/>
      <c r="C74" s="3216">
        <v>0.5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201" t="s">
        <v>3112</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3202" t="s">
        <v>3113</v>
      </c>
      <c r="D84" s="1372" t="s">
        <v>3114</v>
      </c>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v>100</v>
      </c>
      <c r="D85" s="671">
        <v>90</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t="str">
        <f>B15</f>
        <v>是否有自持</v>
      </c>
      <c r="C86" s="3202" t="s">
        <v>3115</v>
      </c>
      <c r="D86" s="3202" t="s">
        <v>3116</v>
      </c>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v>100</v>
      </c>
      <c r="D87" s="692">
        <v>95</v>
      </c>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t="str">
        <f>B16</f>
        <v>限价</v>
      </c>
      <c r="C88" s="3210" t="s">
        <v>3155</v>
      </c>
      <c r="D88" s="661" t="s">
        <v>3162</v>
      </c>
      <c r="E88" s="661" t="s">
        <v>3163</v>
      </c>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v>100</v>
      </c>
      <c r="D89" s="700">
        <v>95</v>
      </c>
      <c r="E89" s="700">
        <v>90</v>
      </c>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95</v>
      </c>
      <c r="E91" s="679">
        <f>D91-$K17</f>
        <v>90</v>
      </c>
      <c r="F91" s="679">
        <f>E91-$K17</f>
        <v>85</v>
      </c>
      <c r="G91" s="679">
        <f>F91-$K17</f>
        <v>80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2544</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2546</v>
      </c>
      <c r="C104" s="2562" t="s">
        <v>2547</v>
      </c>
      <c r="D104" s="2562" t="s">
        <v>2548</v>
      </c>
      <c r="E104" s="2562" t="s">
        <v>2549</v>
      </c>
      <c r="F104" s="2562" t="s">
        <v>2550</v>
      </c>
      <c r="G104" s="2562" t="s">
        <v>2551</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202" t="s">
        <v>3118</v>
      </c>
      <c r="D108" s="3202" t="s">
        <v>3119</v>
      </c>
      <c r="E108" s="3202" t="s">
        <v>3121</v>
      </c>
      <c r="F108" s="3202" t="s">
        <v>3123</v>
      </c>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3203" t="s">
        <v>3124</v>
      </c>
      <c r="D110" s="3203" t="s">
        <v>3125</v>
      </c>
      <c r="E110" s="3203" t="s">
        <v>3126</v>
      </c>
      <c r="F110" s="3203" t="s">
        <v>3127</v>
      </c>
      <c r="G110" s="3203" t="s">
        <v>3140</v>
      </c>
      <c r="H110" s="3203" t="s">
        <v>3141</v>
      </c>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51"/>
      <c r="O111" s="2151"/>
      <c r="P111" s="2150"/>
      <c r="Q111" s="2143"/>
      <c r="R111" s="2130"/>
      <c r="S111" s="2130"/>
      <c r="T111" s="2130"/>
      <c r="U111" s="2130"/>
      <c r="V111" s="2130"/>
      <c r="W111" s="2130"/>
      <c r="X111" s="2130"/>
      <c r="Y111" s="2130"/>
      <c r="Z111" s="2130"/>
      <c r="AA111" s="2130"/>
      <c r="AB111" s="2130"/>
      <c r="AC111" s="2130"/>
    </row>
    <row r="112" spans="1:29" ht="15.75" hidden="1"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hidden="1"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hidden="1"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hidden="1"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hidden="1"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hidden="1"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9.25" thickTop="1">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41" t="str">
        <f t="shared" si="25"/>
        <v>(含)-</v>
      </c>
      <c r="K118" s="3041" t="str">
        <f t="shared" si="25"/>
        <v>(含)-</v>
      </c>
      <c r="L118" s="3042" t="str">
        <f t="shared" si="25"/>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03" t="s">
        <v>3129</v>
      </c>
      <c r="D121" s="3203" t="s">
        <v>3130</v>
      </c>
      <c r="E121" s="3203" t="s">
        <v>3131</v>
      </c>
      <c r="F121" s="3203" t="s">
        <v>3132</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2421</v>
      </c>
      <c r="C125" s="1372" t="s">
        <v>3143</v>
      </c>
      <c r="D125" s="1372" t="s">
        <v>3144</v>
      </c>
      <c r="E125" s="1372" t="s">
        <v>3145</v>
      </c>
      <c r="F125" s="1372" t="s">
        <v>3146</v>
      </c>
      <c r="G125" s="1372" t="s">
        <v>3147</v>
      </c>
      <c r="H125" s="3203" t="s">
        <v>3149</v>
      </c>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2" t="s">
        <v>3150</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t="str">
        <f>B45</f>
        <v>70/90限制</v>
      </c>
      <c r="C129" s="3202" t="s">
        <v>3155</v>
      </c>
      <c r="D129" s="3202" t="s">
        <v>3157</v>
      </c>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v>100</v>
      </c>
      <c r="D130" s="692">
        <v>98</v>
      </c>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8" t="str">
        <f>项目基本情况!B1</f>
        <v>北京市北京市丰台区南苑石榴庄0517-L02地块F1住宅混合公建用地出让国有建设用地使用权抵押价格预评估</v>
      </c>
      <c r="C37" s="3228"/>
      <c r="D37" s="3228"/>
      <c r="E37" s="3228"/>
      <c r="F37" s="3228"/>
      <c r="G37" s="3228"/>
      <c r="H37" s="3228"/>
      <c r="I37" s="3228"/>
    </row>
    <row r="38" spans="1:9">
      <c r="A38" s="1642"/>
      <c r="B38" s="1642"/>
    </row>
    <row r="39" spans="1:9">
      <c r="A39" s="1640" t="s">
        <v>1901</v>
      </c>
      <c r="B39" s="1640" t="s">
        <v>2042</v>
      </c>
    </row>
    <row r="40" spans="1:9">
      <c r="A40" s="1640"/>
      <c r="B40" s="1640">
        <f>项目基本情况!B5</f>
        <v>0</v>
      </c>
    </row>
    <row r="41" spans="1:9">
      <c r="A41" s="1640"/>
      <c r="B41" s="1640"/>
    </row>
    <row r="42" spans="1:9">
      <c r="A42" s="1640" t="s">
        <v>1901</v>
      </c>
      <c r="B42" s="1640" t="s">
        <v>2043</v>
      </c>
    </row>
    <row r="43" spans="1:9">
      <c r="A43" s="1640"/>
      <c r="B43" s="1640" t="s">
        <v>1903</v>
      </c>
    </row>
    <row r="44" spans="1:9">
      <c r="A44" s="1640"/>
      <c r="B44" s="1640"/>
    </row>
    <row r="45" spans="1:9">
      <c r="A45" s="1640" t="s">
        <v>1901</v>
      </c>
      <c r="B45" s="1640" t="s">
        <v>2041</v>
      </c>
    </row>
    <row r="46" spans="1:9" s="1640" customFormat="1" ht="12.75">
      <c r="B46" s="1640" t="str">
        <f>项目基本情况!K4</f>
        <v>吴薇、郑燚</v>
      </c>
    </row>
    <row r="47" spans="1:9">
      <c r="A47" s="1640"/>
      <c r="B47" s="1640"/>
    </row>
    <row r="48" spans="1:9">
      <c r="A48" s="1640" t="s">
        <v>1901</v>
      </c>
      <c r="B48" s="1640" t="s">
        <v>2044</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workbookViewId="0">
      <pane ySplit="1" topLeftCell="A2" activePane="bottomLeft" state="frozen"/>
      <selection pane="bottomLeft" activeCell="G4" sqref="G4"/>
    </sheetView>
  </sheetViews>
  <sheetFormatPr defaultRowHeight="12"/>
  <cols>
    <col min="1" max="1" width="47.5" style="3191" customWidth="1"/>
    <col min="2" max="2" width="6.25" style="3188" customWidth="1"/>
    <col min="3" max="4" width="13.875" style="3188" customWidth="1"/>
    <col min="5" max="5" width="8.625" style="3188" customWidth="1"/>
    <col min="6" max="6" width="7.125" style="3188" customWidth="1"/>
    <col min="7" max="8" width="7.875" style="3188" customWidth="1"/>
    <col min="9" max="9" width="9" style="3188" customWidth="1"/>
    <col min="10" max="11" width="10.625" style="3188" customWidth="1"/>
    <col min="12" max="12" width="14.375" style="3188" customWidth="1"/>
    <col min="13" max="13" width="6.25" style="3188" customWidth="1"/>
    <col min="14" max="14" width="47.625" style="3188" customWidth="1"/>
    <col min="15" max="16" width="7.875" style="3188" customWidth="1"/>
    <col min="17" max="258" width="9" style="3188"/>
    <col min="259" max="259" width="113.125" style="3188" customWidth="1"/>
    <col min="260" max="260" width="6.25" style="3188" customWidth="1"/>
    <col min="261" max="264" width="13.875" style="3188" customWidth="1"/>
    <col min="265" max="265" width="7.875" style="3188" customWidth="1"/>
    <col min="266" max="266" width="9" style="3188" customWidth="1"/>
    <col min="267" max="268" width="10.625" style="3188" customWidth="1"/>
    <col min="269" max="269" width="14.375" style="3188" customWidth="1"/>
    <col min="270" max="270" width="6.25" style="3188" customWidth="1"/>
    <col min="271" max="271" width="90.875" style="3188" customWidth="1"/>
    <col min="272" max="272" width="7.875" style="3188" customWidth="1"/>
    <col min="273" max="514" width="9" style="3188"/>
    <col min="515" max="515" width="113.125" style="3188" customWidth="1"/>
    <col min="516" max="516" width="6.25" style="3188" customWidth="1"/>
    <col min="517" max="520" width="13.875" style="3188" customWidth="1"/>
    <col min="521" max="521" width="7.875" style="3188" customWidth="1"/>
    <col min="522" max="522" width="9" style="3188" customWidth="1"/>
    <col min="523" max="524" width="10.625" style="3188" customWidth="1"/>
    <col min="525" max="525" width="14.375" style="3188" customWidth="1"/>
    <col min="526" max="526" width="6.25" style="3188" customWidth="1"/>
    <col min="527" max="527" width="90.875" style="3188" customWidth="1"/>
    <col min="528" max="528" width="7.875" style="3188" customWidth="1"/>
    <col min="529" max="770" width="9" style="3188"/>
    <col min="771" max="771" width="113.125" style="3188" customWidth="1"/>
    <col min="772" max="772" width="6.25" style="3188" customWidth="1"/>
    <col min="773" max="776" width="13.875" style="3188" customWidth="1"/>
    <col min="777" max="777" width="7.875" style="3188" customWidth="1"/>
    <col min="778" max="778" width="9" style="3188" customWidth="1"/>
    <col min="779" max="780" width="10.625" style="3188" customWidth="1"/>
    <col min="781" max="781" width="14.375" style="3188" customWidth="1"/>
    <col min="782" max="782" width="6.25" style="3188" customWidth="1"/>
    <col min="783" max="783" width="90.875" style="3188" customWidth="1"/>
    <col min="784" max="784" width="7.875" style="3188" customWidth="1"/>
    <col min="785" max="1026" width="9" style="3188"/>
    <col min="1027" max="1027" width="113.125" style="3188" customWidth="1"/>
    <col min="1028" max="1028" width="6.25" style="3188" customWidth="1"/>
    <col min="1029" max="1032" width="13.875" style="3188" customWidth="1"/>
    <col min="1033" max="1033" width="7.875" style="3188" customWidth="1"/>
    <col min="1034" max="1034" width="9" style="3188" customWidth="1"/>
    <col min="1035" max="1036" width="10.625" style="3188" customWidth="1"/>
    <col min="1037" max="1037" width="14.375" style="3188" customWidth="1"/>
    <col min="1038" max="1038" width="6.25" style="3188" customWidth="1"/>
    <col min="1039" max="1039" width="90.875" style="3188" customWidth="1"/>
    <col min="1040" max="1040" width="7.875" style="3188" customWidth="1"/>
    <col min="1041" max="1282" width="9" style="3188"/>
    <col min="1283" max="1283" width="113.125" style="3188" customWidth="1"/>
    <col min="1284" max="1284" width="6.25" style="3188" customWidth="1"/>
    <col min="1285" max="1288" width="13.875" style="3188" customWidth="1"/>
    <col min="1289" max="1289" width="7.875" style="3188" customWidth="1"/>
    <col min="1290" max="1290" width="9" style="3188" customWidth="1"/>
    <col min="1291" max="1292" width="10.625" style="3188" customWidth="1"/>
    <col min="1293" max="1293" width="14.375" style="3188" customWidth="1"/>
    <col min="1294" max="1294" width="6.25" style="3188" customWidth="1"/>
    <col min="1295" max="1295" width="90.875" style="3188" customWidth="1"/>
    <col min="1296" max="1296" width="7.875" style="3188" customWidth="1"/>
    <col min="1297" max="1538" width="9" style="3188"/>
    <col min="1539" max="1539" width="113.125" style="3188" customWidth="1"/>
    <col min="1540" max="1540" width="6.25" style="3188" customWidth="1"/>
    <col min="1541" max="1544" width="13.875" style="3188" customWidth="1"/>
    <col min="1545" max="1545" width="7.875" style="3188" customWidth="1"/>
    <col min="1546" max="1546" width="9" style="3188" customWidth="1"/>
    <col min="1547" max="1548" width="10.625" style="3188" customWidth="1"/>
    <col min="1549" max="1549" width="14.375" style="3188" customWidth="1"/>
    <col min="1550" max="1550" width="6.25" style="3188" customWidth="1"/>
    <col min="1551" max="1551" width="90.875" style="3188" customWidth="1"/>
    <col min="1552" max="1552" width="7.875" style="3188" customWidth="1"/>
    <col min="1553" max="1794" width="9" style="3188"/>
    <col min="1795" max="1795" width="113.125" style="3188" customWidth="1"/>
    <col min="1796" max="1796" width="6.25" style="3188" customWidth="1"/>
    <col min="1797" max="1800" width="13.875" style="3188" customWidth="1"/>
    <col min="1801" max="1801" width="7.875" style="3188" customWidth="1"/>
    <col min="1802" max="1802" width="9" style="3188" customWidth="1"/>
    <col min="1803" max="1804" width="10.625" style="3188" customWidth="1"/>
    <col min="1805" max="1805" width="14.375" style="3188" customWidth="1"/>
    <col min="1806" max="1806" width="6.25" style="3188" customWidth="1"/>
    <col min="1807" max="1807" width="90.875" style="3188" customWidth="1"/>
    <col min="1808" max="1808" width="7.875" style="3188" customWidth="1"/>
    <col min="1809" max="2050" width="9" style="3188"/>
    <col min="2051" max="2051" width="113.125" style="3188" customWidth="1"/>
    <col min="2052" max="2052" width="6.25" style="3188" customWidth="1"/>
    <col min="2053" max="2056" width="13.875" style="3188" customWidth="1"/>
    <col min="2057" max="2057" width="7.875" style="3188" customWidth="1"/>
    <col min="2058" max="2058" width="9" style="3188" customWidth="1"/>
    <col min="2059" max="2060" width="10.625" style="3188" customWidth="1"/>
    <col min="2061" max="2061" width="14.375" style="3188" customWidth="1"/>
    <col min="2062" max="2062" width="6.25" style="3188" customWidth="1"/>
    <col min="2063" max="2063" width="90.875" style="3188" customWidth="1"/>
    <col min="2064" max="2064" width="7.875" style="3188" customWidth="1"/>
    <col min="2065" max="2306" width="9" style="3188"/>
    <col min="2307" max="2307" width="113.125" style="3188" customWidth="1"/>
    <col min="2308" max="2308" width="6.25" style="3188" customWidth="1"/>
    <col min="2309" max="2312" width="13.875" style="3188" customWidth="1"/>
    <col min="2313" max="2313" width="7.875" style="3188" customWidth="1"/>
    <col min="2314" max="2314" width="9" style="3188" customWidth="1"/>
    <col min="2315" max="2316" width="10.625" style="3188" customWidth="1"/>
    <col min="2317" max="2317" width="14.375" style="3188" customWidth="1"/>
    <col min="2318" max="2318" width="6.25" style="3188" customWidth="1"/>
    <col min="2319" max="2319" width="90.875" style="3188" customWidth="1"/>
    <col min="2320" max="2320" width="7.875" style="3188" customWidth="1"/>
    <col min="2321" max="2562" width="9" style="3188"/>
    <col min="2563" max="2563" width="113.125" style="3188" customWidth="1"/>
    <col min="2564" max="2564" width="6.25" style="3188" customWidth="1"/>
    <col min="2565" max="2568" width="13.875" style="3188" customWidth="1"/>
    <col min="2569" max="2569" width="7.875" style="3188" customWidth="1"/>
    <col min="2570" max="2570" width="9" style="3188" customWidth="1"/>
    <col min="2571" max="2572" width="10.625" style="3188" customWidth="1"/>
    <col min="2573" max="2573" width="14.375" style="3188" customWidth="1"/>
    <col min="2574" max="2574" width="6.25" style="3188" customWidth="1"/>
    <col min="2575" max="2575" width="90.875" style="3188" customWidth="1"/>
    <col min="2576" max="2576" width="7.875" style="3188" customWidth="1"/>
    <col min="2577" max="2818" width="9" style="3188"/>
    <col min="2819" max="2819" width="113.125" style="3188" customWidth="1"/>
    <col min="2820" max="2820" width="6.25" style="3188" customWidth="1"/>
    <col min="2821" max="2824" width="13.875" style="3188" customWidth="1"/>
    <col min="2825" max="2825" width="7.875" style="3188" customWidth="1"/>
    <col min="2826" max="2826" width="9" style="3188" customWidth="1"/>
    <col min="2827" max="2828" width="10.625" style="3188" customWidth="1"/>
    <col min="2829" max="2829" width="14.375" style="3188" customWidth="1"/>
    <col min="2830" max="2830" width="6.25" style="3188" customWidth="1"/>
    <col min="2831" max="2831" width="90.875" style="3188" customWidth="1"/>
    <col min="2832" max="2832" width="7.875" style="3188" customWidth="1"/>
    <col min="2833" max="3074" width="9" style="3188"/>
    <col min="3075" max="3075" width="113.125" style="3188" customWidth="1"/>
    <col min="3076" max="3076" width="6.25" style="3188" customWidth="1"/>
    <col min="3077" max="3080" width="13.875" style="3188" customWidth="1"/>
    <col min="3081" max="3081" width="7.875" style="3188" customWidth="1"/>
    <col min="3082" max="3082" width="9" style="3188" customWidth="1"/>
    <col min="3083" max="3084" width="10.625" style="3188" customWidth="1"/>
    <col min="3085" max="3085" width="14.375" style="3188" customWidth="1"/>
    <col min="3086" max="3086" width="6.25" style="3188" customWidth="1"/>
    <col min="3087" max="3087" width="90.875" style="3188" customWidth="1"/>
    <col min="3088" max="3088" width="7.875" style="3188" customWidth="1"/>
    <col min="3089" max="3330" width="9" style="3188"/>
    <col min="3331" max="3331" width="113.125" style="3188" customWidth="1"/>
    <col min="3332" max="3332" width="6.25" style="3188" customWidth="1"/>
    <col min="3333" max="3336" width="13.875" style="3188" customWidth="1"/>
    <col min="3337" max="3337" width="7.875" style="3188" customWidth="1"/>
    <col min="3338" max="3338" width="9" style="3188" customWidth="1"/>
    <col min="3339" max="3340" width="10.625" style="3188" customWidth="1"/>
    <col min="3341" max="3341" width="14.375" style="3188" customWidth="1"/>
    <col min="3342" max="3342" width="6.25" style="3188" customWidth="1"/>
    <col min="3343" max="3343" width="90.875" style="3188" customWidth="1"/>
    <col min="3344" max="3344" width="7.875" style="3188" customWidth="1"/>
    <col min="3345" max="3586" width="9" style="3188"/>
    <col min="3587" max="3587" width="113.125" style="3188" customWidth="1"/>
    <col min="3588" max="3588" width="6.25" style="3188" customWidth="1"/>
    <col min="3589" max="3592" width="13.875" style="3188" customWidth="1"/>
    <col min="3593" max="3593" width="7.875" style="3188" customWidth="1"/>
    <col min="3594" max="3594" width="9" style="3188" customWidth="1"/>
    <col min="3595" max="3596" width="10.625" style="3188" customWidth="1"/>
    <col min="3597" max="3597" width="14.375" style="3188" customWidth="1"/>
    <col min="3598" max="3598" width="6.25" style="3188" customWidth="1"/>
    <col min="3599" max="3599" width="90.875" style="3188" customWidth="1"/>
    <col min="3600" max="3600" width="7.875" style="3188" customWidth="1"/>
    <col min="3601" max="3842" width="9" style="3188"/>
    <col min="3843" max="3843" width="113.125" style="3188" customWidth="1"/>
    <col min="3844" max="3844" width="6.25" style="3188" customWidth="1"/>
    <col min="3845" max="3848" width="13.875" style="3188" customWidth="1"/>
    <col min="3849" max="3849" width="7.875" style="3188" customWidth="1"/>
    <col min="3850" max="3850" width="9" style="3188" customWidth="1"/>
    <col min="3851" max="3852" width="10.625" style="3188" customWidth="1"/>
    <col min="3853" max="3853" width="14.375" style="3188" customWidth="1"/>
    <col min="3854" max="3854" width="6.25" style="3188" customWidth="1"/>
    <col min="3855" max="3855" width="90.875" style="3188" customWidth="1"/>
    <col min="3856" max="3856" width="7.875" style="3188" customWidth="1"/>
    <col min="3857" max="4098" width="9" style="3188"/>
    <col min="4099" max="4099" width="113.125" style="3188" customWidth="1"/>
    <col min="4100" max="4100" width="6.25" style="3188" customWidth="1"/>
    <col min="4101" max="4104" width="13.875" style="3188" customWidth="1"/>
    <col min="4105" max="4105" width="7.875" style="3188" customWidth="1"/>
    <col min="4106" max="4106" width="9" style="3188" customWidth="1"/>
    <col min="4107" max="4108" width="10.625" style="3188" customWidth="1"/>
    <col min="4109" max="4109" width="14.375" style="3188" customWidth="1"/>
    <col min="4110" max="4110" width="6.25" style="3188" customWidth="1"/>
    <col min="4111" max="4111" width="90.875" style="3188" customWidth="1"/>
    <col min="4112" max="4112" width="7.875" style="3188" customWidth="1"/>
    <col min="4113" max="4354" width="9" style="3188"/>
    <col min="4355" max="4355" width="113.125" style="3188" customWidth="1"/>
    <col min="4356" max="4356" width="6.25" style="3188" customWidth="1"/>
    <col min="4357" max="4360" width="13.875" style="3188" customWidth="1"/>
    <col min="4361" max="4361" width="7.875" style="3188" customWidth="1"/>
    <col min="4362" max="4362" width="9" style="3188" customWidth="1"/>
    <col min="4363" max="4364" width="10.625" style="3188" customWidth="1"/>
    <col min="4365" max="4365" width="14.375" style="3188" customWidth="1"/>
    <col min="4366" max="4366" width="6.25" style="3188" customWidth="1"/>
    <col min="4367" max="4367" width="90.875" style="3188" customWidth="1"/>
    <col min="4368" max="4368" width="7.875" style="3188" customWidth="1"/>
    <col min="4369" max="4610" width="9" style="3188"/>
    <col min="4611" max="4611" width="113.125" style="3188" customWidth="1"/>
    <col min="4612" max="4612" width="6.25" style="3188" customWidth="1"/>
    <col min="4613" max="4616" width="13.875" style="3188" customWidth="1"/>
    <col min="4617" max="4617" width="7.875" style="3188" customWidth="1"/>
    <col min="4618" max="4618" width="9" style="3188" customWidth="1"/>
    <col min="4619" max="4620" width="10.625" style="3188" customWidth="1"/>
    <col min="4621" max="4621" width="14.375" style="3188" customWidth="1"/>
    <col min="4622" max="4622" width="6.25" style="3188" customWidth="1"/>
    <col min="4623" max="4623" width="90.875" style="3188" customWidth="1"/>
    <col min="4624" max="4624" width="7.875" style="3188" customWidth="1"/>
    <col min="4625" max="4866" width="9" style="3188"/>
    <col min="4867" max="4867" width="113.125" style="3188" customWidth="1"/>
    <col min="4868" max="4868" width="6.25" style="3188" customWidth="1"/>
    <col min="4869" max="4872" width="13.875" style="3188" customWidth="1"/>
    <col min="4873" max="4873" width="7.875" style="3188" customWidth="1"/>
    <col min="4874" max="4874" width="9" style="3188" customWidth="1"/>
    <col min="4875" max="4876" width="10.625" style="3188" customWidth="1"/>
    <col min="4877" max="4877" width="14.375" style="3188" customWidth="1"/>
    <col min="4878" max="4878" width="6.25" style="3188" customWidth="1"/>
    <col min="4879" max="4879" width="90.875" style="3188" customWidth="1"/>
    <col min="4880" max="4880" width="7.875" style="3188" customWidth="1"/>
    <col min="4881" max="5122" width="9" style="3188"/>
    <col min="5123" max="5123" width="113.125" style="3188" customWidth="1"/>
    <col min="5124" max="5124" width="6.25" style="3188" customWidth="1"/>
    <col min="5125" max="5128" width="13.875" style="3188" customWidth="1"/>
    <col min="5129" max="5129" width="7.875" style="3188" customWidth="1"/>
    <col min="5130" max="5130" width="9" style="3188" customWidth="1"/>
    <col min="5131" max="5132" width="10.625" style="3188" customWidth="1"/>
    <col min="5133" max="5133" width="14.375" style="3188" customWidth="1"/>
    <col min="5134" max="5134" width="6.25" style="3188" customWidth="1"/>
    <col min="5135" max="5135" width="90.875" style="3188" customWidth="1"/>
    <col min="5136" max="5136" width="7.875" style="3188" customWidth="1"/>
    <col min="5137" max="5378" width="9" style="3188"/>
    <col min="5379" max="5379" width="113.125" style="3188" customWidth="1"/>
    <col min="5380" max="5380" width="6.25" style="3188" customWidth="1"/>
    <col min="5381" max="5384" width="13.875" style="3188" customWidth="1"/>
    <col min="5385" max="5385" width="7.875" style="3188" customWidth="1"/>
    <col min="5386" max="5386" width="9" style="3188" customWidth="1"/>
    <col min="5387" max="5388" width="10.625" style="3188" customWidth="1"/>
    <col min="5389" max="5389" width="14.375" style="3188" customWidth="1"/>
    <col min="5390" max="5390" width="6.25" style="3188" customWidth="1"/>
    <col min="5391" max="5391" width="90.875" style="3188" customWidth="1"/>
    <col min="5392" max="5392" width="7.875" style="3188" customWidth="1"/>
    <col min="5393" max="5634" width="9" style="3188"/>
    <col min="5635" max="5635" width="113.125" style="3188" customWidth="1"/>
    <col min="5636" max="5636" width="6.25" style="3188" customWidth="1"/>
    <col min="5637" max="5640" width="13.875" style="3188" customWidth="1"/>
    <col min="5641" max="5641" width="7.875" style="3188" customWidth="1"/>
    <col min="5642" max="5642" width="9" style="3188" customWidth="1"/>
    <col min="5643" max="5644" width="10.625" style="3188" customWidth="1"/>
    <col min="5645" max="5645" width="14.375" style="3188" customWidth="1"/>
    <col min="5646" max="5646" width="6.25" style="3188" customWidth="1"/>
    <col min="5647" max="5647" width="90.875" style="3188" customWidth="1"/>
    <col min="5648" max="5648" width="7.875" style="3188" customWidth="1"/>
    <col min="5649" max="5890" width="9" style="3188"/>
    <col min="5891" max="5891" width="113.125" style="3188" customWidth="1"/>
    <col min="5892" max="5892" width="6.25" style="3188" customWidth="1"/>
    <col min="5893" max="5896" width="13.875" style="3188" customWidth="1"/>
    <col min="5897" max="5897" width="7.875" style="3188" customWidth="1"/>
    <col min="5898" max="5898" width="9" style="3188" customWidth="1"/>
    <col min="5899" max="5900" width="10.625" style="3188" customWidth="1"/>
    <col min="5901" max="5901" width="14.375" style="3188" customWidth="1"/>
    <col min="5902" max="5902" width="6.25" style="3188" customWidth="1"/>
    <col min="5903" max="5903" width="90.875" style="3188" customWidth="1"/>
    <col min="5904" max="5904" width="7.875" style="3188" customWidth="1"/>
    <col min="5905" max="6146" width="9" style="3188"/>
    <col min="6147" max="6147" width="113.125" style="3188" customWidth="1"/>
    <col min="6148" max="6148" width="6.25" style="3188" customWidth="1"/>
    <col min="6149" max="6152" width="13.875" style="3188" customWidth="1"/>
    <col min="6153" max="6153" width="7.875" style="3188" customWidth="1"/>
    <col min="6154" max="6154" width="9" style="3188" customWidth="1"/>
    <col min="6155" max="6156" width="10.625" style="3188" customWidth="1"/>
    <col min="6157" max="6157" width="14.375" style="3188" customWidth="1"/>
    <col min="6158" max="6158" width="6.25" style="3188" customWidth="1"/>
    <col min="6159" max="6159" width="90.875" style="3188" customWidth="1"/>
    <col min="6160" max="6160" width="7.875" style="3188" customWidth="1"/>
    <col min="6161" max="6402" width="9" style="3188"/>
    <col min="6403" max="6403" width="113.125" style="3188" customWidth="1"/>
    <col min="6404" max="6404" width="6.25" style="3188" customWidth="1"/>
    <col min="6405" max="6408" width="13.875" style="3188" customWidth="1"/>
    <col min="6409" max="6409" width="7.875" style="3188" customWidth="1"/>
    <col min="6410" max="6410" width="9" style="3188" customWidth="1"/>
    <col min="6411" max="6412" width="10.625" style="3188" customWidth="1"/>
    <col min="6413" max="6413" width="14.375" style="3188" customWidth="1"/>
    <col min="6414" max="6414" width="6.25" style="3188" customWidth="1"/>
    <col min="6415" max="6415" width="90.875" style="3188" customWidth="1"/>
    <col min="6416" max="6416" width="7.875" style="3188" customWidth="1"/>
    <col min="6417" max="6658" width="9" style="3188"/>
    <col min="6659" max="6659" width="113.125" style="3188" customWidth="1"/>
    <col min="6660" max="6660" width="6.25" style="3188" customWidth="1"/>
    <col min="6661" max="6664" width="13.875" style="3188" customWidth="1"/>
    <col min="6665" max="6665" width="7.875" style="3188" customWidth="1"/>
    <col min="6666" max="6666" width="9" style="3188" customWidth="1"/>
    <col min="6667" max="6668" width="10.625" style="3188" customWidth="1"/>
    <col min="6669" max="6669" width="14.375" style="3188" customWidth="1"/>
    <col min="6670" max="6670" width="6.25" style="3188" customWidth="1"/>
    <col min="6671" max="6671" width="90.875" style="3188" customWidth="1"/>
    <col min="6672" max="6672" width="7.875" style="3188" customWidth="1"/>
    <col min="6673" max="6914" width="9" style="3188"/>
    <col min="6915" max="6915" width="113.125" style="3188" customWidth="1"/>
    <col min="6916" max="6916" width="6.25" style="3188" customWidth="1"/>
    <col min="6917" max="6920" width="13.875" style="3188" customWidth="1"/>
    <col min="6921" max="6921" width="7.875" style="3188" customWidth="1"/>
    <col min="6922" max="6922" width="9" style="3188" customWidth="1"/>
    <col min="6923" max="6924" width="10.625" style="3188" customWidth="1"/>
    <col min="6925" max="6925" width="14.375" style="3188" customWidth="1"/>
    <col min="6926" max="6926" width="6.25" style="3188" customWidth="1"/>
    <col min="6927" max="6927" width="90.875" style="3188" customWidth="1"/>
    <col min="6928" max="6928" width="7.875" style="3188" customWidth="1"/>
    <col min="6929" max="7170" width="9" style="3188"/>
    <col min="7171" max="7171" width="113.125" style="3188" customWidth="1"/>
    <col min="7172" max="7172" width="6.25" style="3188" customWidth="1"/>
    <col min="7173" max="7176" width="13.875" style="3188" customWidth="1"/>
    <col min="7177" max="7177" width="7.875" style="3188" customWidth="1"/>
    <col min="7178" max="7178" width="9" style="3188" customWidth="1"/>
    <col min="7179" max="7180" width="10.625" style="3188" customWidth="1"/>
    <col min="7181" max="7181" width="14.375" style="3188" customWidth="1"/>
    <col min="7182" max="7182" width="6.25" style="3188" customWidth="1"/>
    <col min="7183" max="7183" width="90.875" style="3188" customWidth="1"/>
    <col min="7184" max="7184" width="7.875" style="3188" customWidth="1"/>
    <col min="7185" max="7426" width="9" style="3188"/>
    <col min="7427" max="7427" width="113.125" style="3188" customWidth="1"/>
    <col min="7428" max="7428" width="6.25" style="3188" customWidth="1"/>
    <col min="7429" max="7432" width="13.875" style="3188" customWidth="1"/>
    <col min="7433" max="7433" width="7.875" style="3188" customWidth="1"/>
    <col min="7434" max="7434" width="9" style="3188" customWidth="1"/>
    <col min="7435" max="7436" width="10.625" style="3188" customWidth="1"/>
    <col min="7437" max="7437" width="14.375" style="3188" customWidth="1"/>
    <col min="7438" max="7438" width="6.25" style="3188" customWidth="1"/>
    <col min="7439" max="7439" width="90.875" style="3188" customWidth="1"/>
    <col min="7440" max="7440" width="7.875" style="3188" customWidth="1"/>
    <col min="7441" max="7682" width="9" style="3188"/>
    <col min="7683" max="7683" width="113.125" style="3188" customWidth="1"/>
    <col min="7684" max="7684" width="6.25" style="3188" customWidth="1"/>
    <col min="7685" max="7688" width="13.875" style="3188" customWidth="1"/>
    <col min="7689" max="7689" width="7.875" style="3188" customWidth="1"/>
    <col min="7690" max="7690" width="9" style="3188" customWidth="1"/>
    <col min="7691" max="7692" width="10.625" style="3188" customWidth="1"/>
    <col min="7693" max="7693" width="14.375" style="3188" customWidth="1"/>
    <col min="7694" max="7694" width="6.25" style="3188" customWidth="1"/>
    <col min="7695" max="7695" width="90.875" style="3188" customWidth="1"/>
    <col min="7696" max="7696" width="7.875" style="3188" customWidth="1"/>
    <col min="7697" max="7938" width="9" style="3188"/>
    <col min="7939" max="7939" width="113.125" style="3188" customWidth="1"/>
    <col min="7940" max="7940" width="6.25" style="3188" customWidth="1"/>
    <col min="7941" max="7944" width="13.875" style="3188" customWidth="1"/>
    <col min="7945" max="7945" width="7.875" style="3188" customWidth="1"/>
    <col min="7946" max="7946" width="9" style="3188" customWidth="1"/>
    <col min="7947" max="7948" width="10.625" style="3188" customWidth="1"/>
    <col min="7949" max="7949" width="14.375" style="3188" customWidth="1"/>
    <col min="7950" max="7950" width="6.25" style="3188" customWidth="1"/>
    <col min="7951" max="7951" width="90.875" style="3188" customWidth="1"/>
    <col min="7952" max="7952" width="7.875" style="3188" customWidth="1"/>
    <col min="7953" max="8194" width="9" style="3188"/>
    <col min="8195" max="8195" width="113.125" style="3188" customWidth="1"/>
    <col min="8196" max="8196" width="6.25" style="3188" customWidth="1"/>
    <col min="8197" max="8200" width="13.875" style="3188" customWidth="1"/>
    <col min="8201" max="8201" width="7.875" style="3188" customWidth="1"/>
    <col min="8202" max="8202" width="9" style="3188" customWidth="1"/>
    <col min="8203" max="8204" width="10.625" style="3188" customWidth="1"/>
    <col min="8205" max="8205" width="14.375" style="3188" customWidth="1"/>
    <col min="8206" max="8206" width="6.25" style="3188" customWidth="1"/>
    <col min="8207" max="8207" width="90.875" style="3188" customWidth="1"/>
    <col min="8208" max="8208" width="7.875" style="3188" customWidth="1"/>
    <col min="8209" max="8450" width="9" style="3188"/>
    <col min="8451" max="8451" width="113.125" style="3188" customWidth="1"/>
    <col min="8452" max="8452" width="6.25" style="3188" customWidth="1"/>
    <col min="8453" max="8456" width="13.875" style="3188" customWidth="1"/>
    <col min="8457" max="8457" width="7.875" style="3188" customWidth="1"/>
    <col min="8458" max="8458" width="9" style="3188" customWidth="1"/>
    <col min="8459" max="8460" width="10.625" style="3188" customWidth="1"/>
    <col min="8461" max="8461" width="14.375" style="3188" customWidth="1"/>
    <col min="8462" max="8462" width="6.25" style="3188" customWidth="1"/>
    <col min="8463" max="8463" width="90.875" style="3188" customWidth="1"/>
    <col min="8464" max="8464" width="7.875" style="3188" customWidth="1"/>
    <col min="8465" max="8706" width="9" style="3188"/>
    <col min="8707" max="8707" width="113.125" style="3188" customWidth="1"/>
    <col min="8708" max="8708" width="6.25" style="3188" customWidth="1"/>
    <col min="8709" max="8712" width="13.875" style="3188" customWidth="1"/>
    <col min="8713" max="8713" width="7.875" style="3188" customWidth="1"/>
    <col min="8714" max="8714" width="9" style="3188" customWidth="1"/>
    <col min="8715" max="8716" width="10.625" style="3188" customWidth="1"/>
    <col min="8717" max="8717" width="14.375" style="3188" customWidth="1"/>
    <col min="8718" max="8718" width="6.25" style="3188" customWidth="1"/>
    <col min="8719" max="8719" width="90.875" style="3188" customWidth="1"/>
    <col min="8720" max="8720" width="7.875" style="3188" customWidth="1"/>
    <col min="8721" max="8962" width="9" style="3188"/>
    <col min="8963" max="8963" width="113.125" style="3188" customWidth="1"/>
    <col min="8964" max="8964" width="6.25" style="3188" customWidth="1"/>
    <col min="8965" max="8968" width="13.875" style="3188" customWidth="1"/>
    <col min="8969" max="8969" width="7.875" style="3188" customWidth="1"/>
    <col min="8970" max="8970" width="9" style="3188" customWidth="1"/>
    <col min="8971" max="8972" width="10.625" style="3188" customWidth="1"/>
    <col min="8973" max="8973" width="14.375" style="3188" customWidth="1"/>
    <col min="8974" max="8974" width="6.25" style="3188" customWidth="1"/>
    <col min="8975" max="8975" width="90.875" style="3188" customWidth="1"/>
    <col min="8976" max="8976" width="7.875" style="3188" customWidth="1"/>
    <col min="8977" max="9218" width="9" style="3188"/>
    <col min="9219" max="9219" width="113.125" style="3188" customWidth="1"/>
    <col min="9220" max="9220" width="6.25" style="3188" customWidth="1"/>
    <col min="9221" max="9224" width="13.875" style="3188" customWidth="1"/>
    <col min="9225" max="9225" width="7.875" style="3188" customWidth="1"/>
    <col min="9226" max="9226" width="9" style="3188" customWidth="1"/>
    <col min="9227" max="9228" width="10.625" style="3188" customWidth="1"/>
    <col min="9229" max="9229" width="14.375" style="3188" customWidth="1"/>
    <col min="9230" max="9230" width="6.25" style="3188" customWidth="1"/>
    <col min="9231" max="9231" width="90.875" style="3188" customWidth="1"/>
    <col min="9232" max="9232" width="7.875" style="3188" customWidth="1"/>
    <col min="9233" max="9474" width="9" style="3188"/>
    <col min="9475" max="9475" width="113.125" style="3188" customWidth="1"/>
    <col min="9476" max="9476" width="6.25" style="3188" customWidth="1"/>
    <col min="9477" max="9480" width="13.875" style="3188" customWidth="1"/>
    <col min="9481" max="9481" width="7.875" style="3188" customWidth="1"/>
    <col min="9482" max="9482" width="9" style="3188" customWidth="1"/>
    <col min="9483" max="9484" width="10.625" style="3188" customWidth="1"/>
    <col min="9485" max="9485" width="14.375" style="3188" customWidth="1"/>
    <col min="9486" max="9486" width="6.25" style="3188" customWidth="1"/>
    <col min="9487" max="9487" width="90.875" style="3188" customWidth="1"/>
    <col min="9488" max="9488" width="7.875" style="3188" customWidth="1"/>
    <col min="9489" max="9730" width="9" style="3188"/>
    <col min="9731" max="9731" width="113.125" style="3188" customWidth="1"/>
    <col min="9732" max="9732" width="6.25" style="3188" customWidth="1"/>
    <col min="9733" max="9736" width="13.875" style="3188" customWidth="1"/>
    <col min="9737" max="9737" width="7.875" style="3188" customWidth="1"/>
    <col min="9738" max="9738" width="9" style="3188" customWidth="1"/>
    <col min="9739" max="9740" width="10.625" style="3188" customWidth="1"/>
    <col min="9741" max="9741" width="14.375" style="3188" customWidth="1"/>
    <col min="9742" max="9742" width="6.25" style="3188" customWidth="1"/>
    <col min="9743" max="9743" width="90.875" style="3188" customWidth="1"/>
    <col min="9744" max="9744" width="7.875" style="3188" customWidth="1"/>
    <col min="9745" max="9986" width="9" style="3188"/>
    <col min="9987" max="9987" width="113.125" style="3188" customWidth="1"/>
    <col min="9988" max="9988" width="6.25" style="3188" customWidth="1"/>
    <col min="9989" max="9992" width="13.875" style="3188" customWidth="1"/>
    <col min="9993" max="9993" width="7.875" style="3188" customWidth="1"/>
    <col min="9994" max="9994" width="9" style="3188" customWidth="1"/>
    <col min="9995" max="9996" width="10.625" style="3188" customWidth="1"/>
    <col min="9997" max="9997" width="14.375" style="3188" customWidth="1"/>
    <col min="9998" max="9998" width="6.25" style="3188" customWidth="1"/>
    <col min="9999" max="9999" width="90.875" style="3188" customWidth="1"/>
    <col min="10000" max="10000" width="7.875" style="3188" customWidth="1"/>
    <col min="10001" max="10242" width="9" style="3188"/>
    <col min="10243" max="10243" width="113.125" style="3188" customWidth="1"/>
    <col min="10244" max="10244" width="6.25" style="3188" customWidth="1"/>
    <col min="10245" max="10248" width="13.875" style="3188" customWidth="1"/>
    <col min="10249" max="10249" width="7.875" style="3188" customWidth="1"/>
    <col min="10250" max="10250" width="9" style="3188" customWidth="1"/>
    <col min="10251" max="10252" width="10.625" style="3188" customWidth="1"/>
    <col min="10253" max="10253" width="14.375" style="3188" customWidth="1"/>
    <col min="10254" max="10254" width="6.25" style="3188" customWidth="1"/>
    <col min="10255" max="10255" width="90.875" style="3188" customWidth="1"/>
    <col min="10256" max="10256" width="7.875" style="3188" customWidth="1"/>
    <col min="10257" max="10498" width="9" style="3188"/>
    <col min="10499" max="10499" width="113.125" style="3188" customWidth="1"/>
    <col min="10500" max="10500" width="6.25" style="3188" customWidth="1"/>
    <col min="10501" max="10504" width="13.875" style="3188" customWidth="1"/>
    <col min="10505" max="10505" width="7.875" style="3188" customWidth="1"/>
    <col min="10506" max="10506" width="9" style="3188" customWidth="1"/>
    <col min="10507" max="10508" width="10.625" style="3188" customWidth="1"/>
    <col min="10509" max="10509" width="14.375" style="3188" customWidth="1"/>
    <col min="10510" max="10510" width="6.25" style="3188" customWidth="1"/>
    <col min="10511" max="10511" width="90.875" style="3188" customWidth="1"/>
    <col min="10512" max="10512" width="7.875" style="3188" customWidth="1"/>
    <col min="10513" max="10754" width="9" style="3188"/>
    <col min="10755" max="10755" width="113.125" style="3188" customWidth="1"/>
    <col min="10756" max="10756" width="6.25" style="3188" customWidth="1"/>
    <col min="10757" max="10760" width="13.875" style="3188" customWidth="1"/>
    <col min="10761" max="10761" width="7.875" style="3188" customWidth="1"/>
    <col min="10762" max="10762" width="9" style="3188" customWidth="1"/>
    <col min="10763" max="10764" width="10.625" style="3188" customWidth="1"/>
    <col min="10765" max="10765" width="14.375" style="3188" customWidth="1"/>
    <col min="10766" max="10766" width="6.25" style="3188" customWidth="1"/>
    <col min="10767" max="10767" width="90.875" style="3188" customWidth="1"/>
    <col min="10768" max="10768" width="7.875" style="3188" customWidth="1"/>
    <col min="10769" max="11010" width="9" style="3188"/>
    <col min="11011" max="11011" width="113.125" style="3188" customWidth="1"/>
    <col min="11012" max="11012" width="6.25" style="3188" customWidth="1"/>
    <col min="11013" max="11016" width="13.875" style="3188" customWidth="1"/>
    <col min="11017" max="11017" width="7.875" style="3188" customWidth="1"/>
    <col min="11018" max="11018" width="9" style="3188" customWidth="1"/>
    <col min="11019" max="11020" width="10.625" style="3188" customWidth="1"/>
    <col min="11021" max="11021" width="14.375" style="3188" customWidth="1"/>
    <col min="11022" max="11022" width="6.25" style="3188" customWidth="1"/>
    <col min="11023" max="11023" width="90.875" style="3188" customWidth="1"/>
    <col min="11024" max="11024" width="7.875" style="3188" customWidth="1"/>
    <col min="11025" max="11266" width="9" style="3188"/>
    <col min="11267" max="11267" width="113.125" style="3188" customWidth="1"/>
    <col min="11268" max="11268" width="6.25" style="3188" customWidth="1"/>
    <col min="11269" max="11272" width="13.875" style="3188" customWidth="1"/>
    <col min="11273" max="11273" width="7.875" style="3188" customWidth="1"/>
    <col min="11274" max="11274" width="9" style="3188" customWidth="1"/>
    <col min="11275" max="11276" width="10.625" style="3188" customWidth="1"/>
    <col min="11277" max="11277" width="14.375" style="3188" customWidth="1"/>
    <col min="11278" max="11278" width="6.25" style="3188" customWidth="1"/>
    <col min="11279" max="11279" width="90.875" style="3188" customWidth="1"/>
    <col min="11280" max="11280" width="7.875" style="3188" customWidth="1"/>
    <col min="11281" max="11522" width="9" style="3188"/>
    <col min="11523" max="11523" width="113.125" style="3188" customWidth="1"/>
    <col min="11524" max="11524" width="6.25" style="3188" customWidth="1"/>
    <col min="11525" max="11528" width="13.875" style="3188" customWidth="1"/>
    <col min="11529" max="11529" width="7.875" style="3188" customWidth="1"/>
    <col min="11530" max="11530" width="9" style="3188" customWidth="1"/>
    <col min="11531" max="11532" width="10.625" style="3188" customWidth="1"/>
    <col min="11533" max="11533" width="14.375" style="3188" customWidth="1"/>
    <col min="11534" max="11534" width="6.25" style="3188" customWidth="1"/>
    <col min="11535" max="11535" width="90.875" style="3188" customWidth="1"/>
    <col min="11536" max="11536" width="7.875" style="3188" customWidth="1"/>
    <col min="11537" max="11778" width="9" style="3188"/>
    <col min="11779" max="11779" width="113.125" style="3188" customWidth="1"/>
    <col min="11780" max="11780" width="6.25" style="3188" customWidth="1"/>
    <col min="11781" max="11784" width="13.875" style="3188" customWidth="1"/>
    <col min="11785" max="11785" width="7.875" style="3188" customWidth="1"/>
    <col min="11786" max="11786" width="9" style="3188" customWidth="1"/>
    <col min="11787" max="11788" width="10.625" style="3188" customWidth="1"/>
    <col min="11789" max="11789" width="14.375" style="3188" customWidth="1"/>
    <col min="11790" max="11790" width="6.25" style="3188" customWidth="1"/>
    <col min="11791" max="11791" width="90.875" style="3188" customWidth="1"/>
    <col min="11792" max="11792" width="7.875" style="3188" customWidth="1"/>
    <col min="11793" max="12034" width="9" style="3188"/>
    <col min="12035" max="12035" width="113.125" style="3188" customWidth="1"/>
    <col min="12036" max="12036" width="6.25" style="3188" customWidth="1"/>
    <col min="12037" max="12040" width="13.875" style="3188" customWidth="1"/>
    <col min="12041" max="12041" width="7.875" style="3188" customWidth="1"/>
    <col min="12042" max="12042" width="9" style="3188" customWidth="1"/>
    <col min="12043" max="12044" width="10.625" style="3188" customWidth="1"/>
    <col min="12045" max="12045" width="14.375" style="3188" customWidth="1"/>
    <col min="12046" max="12046" width="6.25" style="3188" customWidth="1"/>
    <col min="12047" max="12047" width="90.875" style="3188" customWidth="1"/>
    <col min="12048" max="12048" width="7.875" style="3188" customWidth="1"/>
    <col min="12049" max="12290" width="9" style="3188"/>
    <col min="12291" max="12291" width="113.125" style="3188" customWidth="1"/>
    <col min="12292" max="12292" width="6.25" style="3188" customWidth="1"/>
    <col min="12293" max="12296" width="13.875" style="3188" customWidth="1"/>
    <col min="12297" max="12297" width="7.875" style="3188" customWidth="1"/>
    <col min="12298" max="12298" width="9" style="3188" customWidth="1"/>
    <col min="12299" max="12300" width="10.625" style="3188" customWidth="1"/>
    <col min="12301" max="12301" width="14.375" style="3188" customWidth="1"/>
    <col min="12302" max="12302" width="6.25" style="3188" customWidth="1"/>
    <col min="12303" max="12303" width="90.875" style="3188" customWidth="1"/>
    <col min="12304" max="12304" width="7.875" style="3188" customWidth="1"/>
    <col min="12305" max="12546" width="9" style="3188"/>
    <col min="12547" max="12547" width="113.125" style="3188" customWidth="1"/>
    <col min="12548" max="12548" width="6.25" style="3188" customWidth="1"/>
    <col min="12549" max="12552" width="13.875" style="3188" customWidth="1"/>
    <col min="12553" max="12553" width="7.875" style="3188" customWidth="1"/>
    <col min="12554" max="12554" width="9" style="3188" customWidth="1"/>
    <col min="12555" max="12556" width="10.625" style="3188" customWidth="1"/>
    <col min="12557" max="12557" width="14.375" style="3188" customWidth="1"/>
    <col min="12558" max="12558" width="6.25" style="3188" customWidth="1"/>
    <col min="12559" max="12559" width="90.875" style="3188" customWidth="1"/>
    <col min="12560" max="12560" width="7.875" style="3188" customWidth="1"/>
    <col min="12561" max="12802" width="9" style="3188"/>
    <col min="12803" max="12803" width="113.125" style="3188" customWidth="1"/>
    <col min="12804" max="12804" width="6.25" style="3188" customWidth="1"/>
    <col min="12805" max="12808" width="13.875" style="3188" customWidth="1"/>
    <col min="12809" max="12809" width="7.875" style="3188" customWidth="1"/>
    <col min="12810" max="12810" width="9" style="3188" customWidth="1"/>
    <col min="12811" max="12812" width="10.625" style="3188" customWidth="1"/>
    <col min="12813" max="12813" width="14.375" style="3188" customWidth="1"/>
    <col min="12814" max="12814" width="6.25" style="3188" customWidth="1"/>
    <col min="12815" max="12815" width="90.875" style="3188" customWidth="1"/>
    <col min="12816" max="12816" width="7.875" style="3188" customWidth="1"/>
    <col min="12817" max="13058" width="9" style="3188"/>
    <col min="13059" max="13059" width="113.125" style="3188" customWidth="1"/>
    <col min="13060" max="13060" width="6.25" style="3188" customWidth="1"/>
    <col min="13061" max="13064" width="13.875" style="3188" customWidth="1"/>
    <col min="13065" max="13065" width="7.875" style="3188" customWidth="1"/>
    <col min="13066" max="13066" width="9" style="3188" customWidth="1"/>
    <col min="13067" max="13068" width="10.625" style="3188" customWidth="1"/>
    <col min="13069" max="13069" width="14.375" style="3188" customWidth="1"/>
    <col min="13070" max="13070" width="6.25" style="3188" customWidth="1"/>
    <col min="13071" max="13071" width="90.875" style="3188" customWidth="1"/>
    <col min="13072" max="13072" width="7.875" style="3188" customWidth="1"/>
    <col min="13073" max="13314" width="9" style="3188"/>
    <col min="13315" max="13315" width="113.125" style="3188" customWidth="1"/>
    <col min="13316" max="13316" width="6.25" style="3188" customWidth="1"/>
    <col min="13317" max="13320" width="13.875" style="3188" customWidth="1"/>
    <col min="13321" max="13321" width="7.875" style="3188" customWidth="1"/>
    <col min="13322" max="13322" width="9" style="3188" customWidth="1"/>
    <col min="13323" max="13324" width="10.625" style="3188" customWidth="1"/>
    <col min="13325" max="13325" width="14.375" style="3188" customWidth="1"/>
    <col min="13326" max="13326" width="6.25" style="3188" customWidth="1"/>
    <col min="13327" max="13327" width="90.875" style="3188" customWidth="1"/>
    <col min="13328" max="13328" width="7.875" style="3188" customWidth="1"/>
    <col min="13329" max="13570" width="9" style="3188"/>
    <col min="13571" max="13571" width="113.125" style="3188" customWidth="1"/>
    <col min="13572" max="13572" width="6.25" style="3188" customWidth="1"/>
    <col min="13573" max="13576" width="13.875" style="3188" customWidth="1"/>
    <col min="13577" max="13577" width="7.875" style="3188" customWidth="1"/>
    <col min="13578" max="13578" width="9" style="3188" customWidth="1"/>
    <col min="13579" max="13580" width="10.625" style="3188" customWidth="1"/>
    <col min="13581" max="13581" width="14.375" style="3188" customWidth="1"/>
    <col min="13582" max="13582" width="6.25" style="3188" customWidth="1"/>
    <col min="13583" max="13583" width="90.875" style="3188" customWidth="1"/>
    <col min="13584" max="13584" width="7.875" style="3188" customWidth="1"/>
    <col min="13585" max="13826" width="9" style="3188"/>
    <col min="13827" max="13827" width="113.125" style="3188" customWidth="1"/>
    <col min="13828" max="13828" width="6.25" style="3188" customWidth="1"/>
    <col min="13829" max="13832" width="13.875" style="3188" customWidth="1"/>
    <col min="13833" max="13833" width="7.875" style="3188" customWidth="1"/>
    <col min="13834" max="13834" width="9" style="3188" customWidth="1"/>
    <col min="13835" max="13836" width="10.625" style="3188" customWidth="1"/>
    <col min="13837" max="13837" width="14.375" style="3188" customWidth="1"/>
    <col min="13838" max="13838" width="6.25" style="3188" customWidth="1"/>
    <col min="13839" max="13839" width="90.875" style="3188" customWidth="1"/>
    <col min="13840" max="13840" width="7.875" style="3188" customWidth="1"/>
    <col min="13841" max="14082" width="9" style="3188"/>
    <col min="14083" max="14083" width="113.125" style="3188" customWidth="1"/>
    <col min="14084" max="14084" width="6.25" style="3188" customWidth="1"/>
    <col min="14085" max="14088" width="13.875" style="3188" customWidth="1"/>
    <col min="14089" max="14089" width="7.875" style="3188" customWidth="1"/>
    <col min="14090" max="14090" width="9" style="3188" customWidth="1"/>
    <col min="14091" max="14092" width="10.625" style="3188" customWidth="1"/>
    <col min="14093" max="14093" width="14.375" style="3188" customWidth="1"/>
    <col min="14094" max="14094" width="6.25" style="3188" customWidth="1"/>
    <col min="14095" max="14095" width="90.875" style="3188" customWidth="1"/>
    <col min="14096" max="14096" width="7.875" style="3188" customWidth="1"/>
    <col min="14097" max="14338" width="9" style="3188"/>
    <col min="14339" max="14339" width="113.125" style="3188" customWidth="1"/>
    <col min="14340" max="14340" width="6.25" style="3188" customWidth="1"/>
    <col min="14341" max="14344" width="13.875" style="3188" customWidth="1"/>
    <col min="14345" max="14345" width="7.875" style="3188" customWidth="1"/>
    <col min="14346" max="14346" width="9" style="3188" customWidth="1"/>
    <col min="14347" max="14348" width="10.625" style="3188" customWidth="1"/>
    <col min="14349" max="14349" width="14.375" style="3188" customWidth="1"/>
    <col min="14350" max="14350" width="6.25" style="3188" customWidth="1"/>
    <col min="14351" max="14351" width="90.875" style="3188" customWidth="1"/>
    <col min="14352" max="14352" width="7.875" style="3188" customWidth="1"/>
    <col min="14353" max="14594" width="9" style="3188"/>
    <col min="14595" max="14595" width="113.125" style="3188" customWidth="1"/>
    <col min="14596" max="14596" width="6.25" style="3188" customWidth="1"/>
    <col min="14597" max="14600" width="13.875" style="3188" customWidth="1"/>
    <col min="14601" max="14601" width="7.875" style="3188" customWidth="1"/>
    <col min="14602" max="14602" width="9" style="3188" customWidth="1"/>
    <col min="14603" max="14604" width="10.625" style="3188" customWidth="1"/>
    <col min="14605" max="14605" width="14.375" style="3188" customWidth="1"/>
    <col min="14606" max="14606" width="6.25" style="3188" customWidth="1"/>
    <col min="14607" max="14607" width="90.875" style="3188" customWidth="1"/>
    <col min="14608" max="14608" width="7.875" style="3188" customWidth="1"/>
    <col min="14609" max="14850" width="9" style="3188"/>
    <col min="14851" max="14851" width="113.125" style="3188" customWidth="1"/>
    <col min="14852" max="14852" width="6.25" style="3188" customWidth="1"/>
    <col min="14853" max="14856" width="13.875" style="3188" customWidth="1"/>
    <col min="14857" max="14857" width="7.875" style="3188" customWidth="1"/>
    <col min="14858" max="14858" width="9" style="3188" customWidth="1"/>
    <col min="14859" max="14860" width="10.625" style="3188" customWidth="1"/>
    <col min="14861" max="14861" width="14.375" style="3188" customWidth="1"/>
    <col min="14862" max="14862" width="6.25" style="3188" customWidth="1"/>
    <col min="14863" max="14863" width="90.875" style="3188" customWidth="1"/>
    <col min="14864" max="14864" width="7.875" style="3188" customWidth="1"/>
    <col min="14865" max="15106" width="9" style="3188"/>
    <col min="15107" max="15107" width="113.125" style="3188" customWidth="1"/>
    <col min="15108" max="15108" width="6.25" style="3188" customWidth="1"/>
    <col min="15109" max="15112" width="13.875" style="3188" customWidth="1"/>
    <col min="15113" max="15113" width="7.875" style="3188" customWidth="1"/>
    <col min="15114" max="15114" width="9" style="3188" customWidth="1"/>
    <col min="15115" max="15116" width="10.625" style="3188" customWidth="1"/>
    <col min="15117" max="15117" width="14.375" style="3188" customWidth="1"/>
    <col min="15118" max="15118" width="6.25" style="3188" customWidth="1"/>
    <col min="15119" max="15119" width="90.875" style="3188" customWidth="1"/>
    <col min="15120" max="15120" width="7.875" style="3188" customWidth="1"/>
    <col min="15121" max="15362" width="9" style="3188"/>
    <col min="15363" max="15363" width="113.125" style="3188" customWidth="1"/>
    <col min="15364" max="15364" width="6.25" style="3188" customWidth="1"/>
    <col min="15365" max="15368" width="13.875" style="3188" customWidth="1"/>
    <col min="15369" max="15369" width="7.875" style="3188" customWidth="1"/>
    <col min="15370" max="15370" width="9" style="3188" customWidth="1"/>
    <col min="15371" max="15372" width="10.625" style="3188" customWidth="1"/>
    <col min="15373" max="15373" width="14.375" style="3188" customWidth="1"/>
    <col min="15374" max="15374" width="6.25" style="3188" customWidth="1"/>
    <col min="15375" max="15375" width="90.875" style="3188" customWidth="1"/>
    <col min="15376" max="15376" width="7.875" style="3188" customWidth="1"/>
    <col min="15377" max="15618" width="9" style="3188"/>
    <col min="15619" max="15619" width="113.125" style="3188" customWidth="1"/>
    <col min="15620" max="15620" width="6.25" style="3188" customWidth="1"/>
    <col min="15621" max="15624" width="13.875" style="3188" customWidth="1"/>
    <col min="15625" max="15625" width="7.875" style="3188" customWidth="1"/>
    <col min="15626" max="15626" width="9" style="3188" customWidth="1"/>
    <col min="15627" max="15628" width="10.625" style="3188" customWidth="1"/>
    <col min="15629" max="15629" width="14.375" style="3188" customWidth="1"/>
    <col min="15630" max="15630" width="6.25" style="3188" customWidth="1"/>
    <col min="15631" max="15631" width="90.875" style="3188" customWidth="1"/>
    <col min="15632" max="15632" width="7.875" style="3188" customWidth="1"/>
    <col min="15633" max="15874" width="9" style="3188"/>
    <col min="15875" max="15875" width="113.125" style="3188" customWidth="1"/>
    <col min="15876" max="15876" width="6.25" style="3188" customWidth="1"/>
    <col min="15877" max="15880" width="13.875" style="3188" customWidth="1"/>
    <col min="15881" max="15881" width="7.875" style="3188" customWidth="1"/>
    <col min="15882" max="15882" width="9" style="3188" customWidth="1"/>
    <col min="15883" max="15884" width="10.625" style="3188" customWidth="1"/>
    <col min="15885" max="15885" width="14.375" style="3188" customWidth="1"/>
    <col min="15886" max="15886" width="6.25" style="3188" customWidth="1"/>
    <col min="15887" max="15887" width="90.875" style="3188" customWidth="1"/>
    <col min="15888" max="15888" width="7.875" style="3188" customWidth="1"/>
    <col min="15889" max="16130" width="9" style="3188"/>
    <col min="16131" max="16131" width="113.125" style="3188" customWidth="1"/>
    <col min="16132" max="16132" width="6.25" style="3188" customWidth="1"/>
    <col min="16133" max="16136" width="13.875" style="3188" customWidth="1"/>
    <col min="16137" max="16137" width="7.875" style="3188" customWidth="1"/>
    <col min="16138" max="16138" width="9" style="3188" customWidth="1"/>
    <col min="16139" max="16140" width="10.625" style="3188" customWidth="1"/>
    <col min="16141" max="16141" width="14.375" style="3188" customWidth="1"/>
    <col min="16142" max="16142" width="6.25" style="3188" customWidth="1"/>
    <col min="16143" max="16143" width="90.875" style="3188" customWidth="1"/>
    <col min="16144" max="16144" width="7.875" style="3188" customWidth="1"/>
    <col min="16145" max="16384" width="9" style="3188"/>
  </cols>
  <sheetData>
    <row r="1" spans="1:19" s="3191" customFormat="1" ht="24">
      <c r="A1" s="3191" t="s">
        <v>3030</v>
      </c>
      <c r="B1" s="3192" t="s">
        <v>3031</v>
      </c>
      <c r="C1" s="3192" t="s">
        <v>3032</v>
      </c>
      <c r="D1" s="3192" t="s">
        <v>3033</v>
      </c>
      <c r="E1" s="3192" t="s">
        <v>3034</v>
      </c>
      <c r="F1" s="3192" t="s">
        <v>2028</v>
      </c>
      <c r="G1" s="3192" t="s">
        <v>3105</v>
      </c>
      <c r="H1" s="3192" t="s">
        <v>3035</v>
      </c>
      <c r="I1" s="3192" t="s">
        <v>3036</v>
      </c>
      <c r="J1" s="3192" t="s">
        <v>3037</v>
      </c>
      <c r="K1" s="3192" t="s">
        <v>3038</v>
      </c>
      <c r="L1" s="3192" t="s">
        <v>3039</v>
      </c>
      <c r="M1" s="3192" t="s">
        <v>3040</v>
      </c>
      <c r="N1" s="3192" t="s">
        <v>3041</v>
      </c>
      <c r="O1" s="3191" t="s">
        <v>3042</v>
      </c>
      <c r="P1" s="3191" t="s">
        <v>3133</v>
      </c>
      <c r="Q1" s="3191" t="s">
        <v>3134</v>
      </c>
      <c r="R1" s="3191" t="s">
        <v>3136</v>
      </c>
      <c r="S1" s="3191" t="s">
        <v>3135</v>
      </c>
    </row>
    <row r="2" spans="1:19" ht="24">
      <c r="A2" s="3191" t="s">
        <v>3043</v>
      </c>
      <c r="B2" s="3193" t="s">
        <v>1943</v>
      </c>
      <c r="C2" s="3193" t="s">
        <v>3044</v>
      </c>
      <c r="D2" s="3193">
        <v>62168.34</v>
      </c>
      <c r="E2" s="3193">
        <v>186162</v>
      </c>
      <c r="F2" s="3193" t="s">
        <v>3045</v>
      </c>
      <c r="G2" s="3193">
        <f>ROUND(E2/D2,2)</f>
        <v>2.99</v>
      </c>
      <c r="H2" s="3193" t="s">
        <v>3046</v>
      </c>
      <c r="I2" s="3193" t="s">
        <v>3047</v>
      </c>
      <c r="J2" s="3193" t="s">
        <v>2812</v>
      </c>
      <c r="K2" s="3193">
        <v>434800</v>
      </c>
      <c r="L2" s="3193">
        <v>23356</v>
      </c>
      <c r="M2" s="3193" t="s">
        <v>2812</v>
      </c>
      <c r="N2" s="3193" t="s">
        <v>3048</v>
      </c>
      <c r="O2" s="3188" t="s">
        <v>3049</v>
      </c>
    </row>
    <row r="3" spans="1:19" ht="24">
      <c r="A3" s="3191" t="s">
        <v>3050</v>
      </c>
      <c r="B3" s="3193" t="s">
        <v>1943</v>
      </c>
      <c r="C3" s="3193" t="s">
        <v>3044</v>
      </c>
      <c r="D3" s="3193">
        <v>74642.399999999994</v>
      </c>
      <c r="E3" s="3193">
        <v>82107</v>
      </c>
      <c r="F3" s="3193" t="s">
        <v>3051</v>
      </c>
      <c r="G3" s="3193">
        <f t="shared" ref="G3:G18" si="0">ROUND(E3/D3,2)</f>
        <v>1.1000000000000001</v>
      </c>
      <c r="H3" s="3193" t="s">
        <v>3052</v>
      </c>
      <c r="I3" s="3193" t="s">
        <v>3053</v>
      </c>
      <c r="J3" s="3193">
        <v>260000</v>
      </c>
      <c r="K3" s="3193">
        <v>260000</v>
      </c>
      <c r="L3" s="3193">
        <v>31666</v>
      </c>
      <c r="M3" s="3193">
        <v>0</v>
      </c>
      <c r="N3" s="3193" t="s">
        <v>3054</v>
      </c>
      <c r="O3" s="3188" t="s">
        <v>3055</v>
      </c>
    </row>
    <row r="4" spans="1:19" s="3189" customFormat="1">
      <c r="A4" s="3196" t="s">
        <v>3000</v>
      </c>
      <c r="B4" s="3194" t="s">
        <v>1943</v>
      </c>
      <c r="C4" s="3194" t="s">
        <v>3056</v>
      </c>
      <c r="D4" s="3194">
        <v>21023.4</v>
      </c>
      <c r="E4" s="3194">
        <v>63070</v>
      </c>
      <c r="F4" s="3194" t="s">
        <v>3045</v>
      </c>
      <c r="G4" s="3194">
        <f t="shared" si="0"/>
        <v>3</v>
      </c>
      <c r="H4" s="3194" t="s">
        <v>3052</v>
      </c>
      <c r="I4" s="3194" t="s">
        <v>3057</v>
      </c>
      <c r="J4" s="3194">
        <v>266900</v>
      </c>
      <c r="K4" s="3194">
        <v>282000</v>
      </c>
      <c r="L4" s="3194">
        <v>44712.22</v>
      </c>
      <c r="M4" s="3194">
        <v>5.66</v>
      </c>
      <c r="N4" s="3194" t="s">
        <v>3058</v>
      </c>
      <c r="O4" s="3189" t="s">
        <v>3059</v>
      </c>
      <c r="P4" s="3189">
        <f>面积表!D4</f>
        <v>48430</v>
      </c>
      <c r="Q4" s="3189">
        <f>K4/面积表!D4*10000</f>
        <v>58228.370844517856</v>
      </c>
      <c r="R4" s="3189">
        <f>J4/面积表!D4*10000</f>
        <v>55110.468717736934</v>
      </c>
    </row>
    <row r="5" spans="1:19" s="3200" customFormat="1" ht="24">
      <c r="A5" s="3198" t="s">
        <v>3060</v>
      </c>
      <c r="B5" s="3199" t="s">
        <v>1943</v>
      </c>
      <c r="C5" s="3199" t="s">
        <v>3056</v>
      </c>
      <c r="D5" s="3199">
        <v>59111.519999999997</v>
      </c>
      <c r="E5" s="3199">
        <v>216452</v>
      </c>
      <c r="F5" s="3199" t="s">
        <v>3061</v>
      </c>
      <c r="G5" s="3199">
        <f t="shared" si="0"/>
        <v>3.66</v>
      </c>
      <c r="H5" s="3199" t="s">
        <v>3052</v>
      </c>
      <c r="I5" s="3199" t="s">
        <v>3062</v>
      </c>
      <c r="J5" s="3199">
        <v>668400</v>
      </c>
      <c r="K5" s="3199">
        <v>794000</v>
      </c>
      <c r="L5" s="3199">
        <v>36682.5</v>
      </c>
      <c r="M5" s="3199">
        <v>18.79</v>
      </c>
      <c r="N5" s="3199" t="s">
        <v>3063</v>
      </c>
      <c r="O5" s="3200" t="s">
        <v>3059</v>
      </c>
    </row>
    <row r="6" spans="1:19" ht="24">
      <c r="A6" s="3191" t="s">
        <v>3064</v>
      </c>
      <c r="B6" s="3193" t="s">
        <v>1943</v>
      </c>
      <c r="C6" s="3193" t="s">
        <v>3056</v>
      </c>
      <c r="D6" s="3193">
        <v>168662.9</v>
      </c>
      <c r="E6" s="3193">
        <v>184119</v>
      </c>
      <c r="F6" s="3193" t="s">
        <v>3065</v>
      </c>
      <c r="G6" s="3193">
        <f t="shared" si="0"/>
        <v>1.0900000000000001</v>
      </c>
      <c r="H6" s="3193" t="s">
        <v>3052</v>
      </c>
      <c r="I6" s="3193" t="s">
        <v>3066</v>
      </c>
      <c r="J6" s="3193">
        <v>405000</v>
      </c>
      <c r="K6" s="3193">
        <v>430000</v>
      </c>
      <c r="L6" s="3193">
        <v>23354.45</v>
      </c>
      <c r="M6" s="3193">
        <v>6.17</v>
      </c>
      <c r="N6" s="3193" t="s">
        <v>3067</v>
      </c>
      <c r="O6" s="3188" t="s">
        <v>3055</v>
      </c>
    </row>
    <row r="7" spans="1:19" ht="35.25" customHeight="1">
      <c r="A7" s="3191" t="s">
        <v>3068</v>
      </c>
      <c r="B7" s="3193" t="s">
        <v>1943</v>
      </c>
      <c r="C7" s="3193" t="s">
        <v>3056</v>
      </c>
      <c r="D7" s="3193">
        <v>56736.89</v>
      </c>
      <c r="E7" s="3193">
        <v>162338</v>
      </c>
      <c r="F7" s="3193">
        <v>2.86</v>
      </c>
      <c r="G7" s="3193">
        <f t="shared" si="0"/>
        <v>2.86</v>
      </c>
      <c r="H7" s="3193" t="s">
        <v>3052</v>
      </c>
      <c r="I7" s="3193" t="s">
        <v>3069</v>
      </c>
      <c r="J7" s="3193">
        <v>327700</v>
      </c>
      <c r="K7" s="3193">
        <v>372000</v>
      </c>
      <c r="L7" s="3193">
        <v>22915.15</v>
      </c>
      <c r="M7" s="3193">
        <v>13.52</v>
      </c>
      <c r="N7" s="3193" t="s">
        <v>3070</v>
      </c>
      <c r="O7" s="3188" t="s">
        <v>3059</v>
      </c>
      <c r="P7" s="3188">
        <f>ROUND((E8+E9)/(D8+D9),2)</f>
        <v>2.9</v>
      </c>
    </row>
    <row r="8" spans="1:19" s="3190" customFormat="1">
      <c r="A8" s="3197" t="s">
        <v>3071</v>
      </c>
      <c r="B8" s="3195" t="s">
        <v>1943</v>
      </c>
      <c r="C8" s="3195" t="s">
        <v>3044</v>
      </c>
      <c r="D8" s="3195">
        <v>43166.27</v>
      </c>
      <c r="E8" s="3195">
        <v>131841</v>
      </c>
      <c r="F8" s="3195">
        <v>3.05</v>
      </c>
      <c r="G8" s="3195">
        <f t="shared" si="0"/>
        <v>3.05</v>
      </c>
      <c r="H8" s="3195" t="s">
        <v>3052</v>
      </c>
      <c r="I8" s="3195" t="s">
        <v>3072</v>
      </c>
      <c r="J8" s="3195">
        <v>462400</v>
      </c>
      <c r="K8" s="3195">
        <v>584000</v>
      </c>
      <c r="L8" s="3195">
        <v>44295.77</v>
      </c>
      <c r="M8" s="3195">
        <v>26.3</v>
      </c>
      <c r="N8" s="3195" t="s">
        <v>3073</v>
      </c>
      <c r="O8" s="3190" t="s">
        <v>3059</v>
      </c>
      <c r="P8" s="3190">
        <f>E8+E9-P9</f>
        <v>290598</v>
      </c>
      <c r="Q8" s="3190">
        <f>ROUND((K8+K9)/P8*10000,0)</f>
        <v>44254</v>
      </c>
      <c r="R8" s="3190">
        <f>ROUND((J8+J9)/P8*10000,0)</f>
        <v>35183</v>
      </c>
      <c r="S8" s="3190">
        <v>67702</v>
      </c>
    </row>
    <row r="9" spans="1:19" s="3190" customFormat="1" ht="24">
      <c r="A9" s="3197" t="s">
        <v>3074</v>
      </c>
      <c r="B9" s="3195" t="s">
        <v>1943</v>
      </c>
      <c r="C9" s="3195" t="s">
        <v>3056</v>
      </c>
      <c r="D9" s="3195">
        <v>58664.08</v>
      </c>
      <c r="E9" s="3195">
        <v>163477</v>
      </c>
      <c r="F9" s="3195">
        <v>2.79</v>
      </c>
      <c r="G9" s="3195">
        <f t="shared" si="0"/>
        <v>2.79</v>
      </c>
      <c r="H9" s="3195" t="s">
        <v>3052</v>
      </c>
      <c r="I9" s="3195" t="s">
        <v>3072</v>
      </c>
      <c r="J9" s="3195">
        <v>560000</v>
      </c>
      <c r="K9" s="3195">
        <v>702000</v>
      </c>
      <c r="L9" s="3195">
        <v>42941.81</v>
      </c>
      <c r="M9" s="3195">
        <v>25.36</v>
      </c>
      <c r="N9" s="3195" t="s">
        <v>3075</v>
      </c>
      <c r="O9" s="3190" t="s">
        <v>3059</v>
      </c>
      <c r="P9" s="3190">
        <f>E9-158757</f>
        <v>4720</v>
      </c>
    </row>
    <row r="10" spans="1:19" ht="24">
      <c r="A10" s="3191" t="s">
        <v>3076</v>
      </c>
      <c r="B10" s="3193" t="s">
        <v>1943</v>
      </c>
      <c r="C10" s="3193" t="s">
        <v>3056</v>
      </c>
      <c r="D10" s="3193">
        <v>90247.13</v>
      </c>
      <c r="E10" s="3193">
        <v>290836</v>
      </c>
      <c r="F10" s="3193">
        <v>3.2229999999999999</v>
      </c>
      <c r="G10" s="3193">
        <f t="shared" si="0"/>
        <v>3.22</v>
      </c>
      <c r="H10" s="3193" t="s">
        <v>3052</v>
      </c>
      <c r="I10" s="3193" t="s">
        <v>3077</v>
      </c>
      <c r="J10" s="3193">
        <v>498000</v>
      </c>
      <c r="K10" s="3193">
        <v>498000</v>
      </c>
      <c r="L10" s="3193">
        <v>17123.04</v>
      </c>
      <c r="M10" s="3193">
        <v>0</v>
      </c>
      <c r="N10" s="3193" t="s">
        <v>3078</v>
      </c>
      <c r="O10" s="3188" t="s">
        <v>3049</v>
      </c>
    </row>
    <row r="11" spans="1:19" s="3215" customFormat="1">
      <c r="A11" s="3213" t="s">
        <v>3079</v>
      </c>
      <c r="B11" s="3214" t="s">
        <v>1943</v>
      </c>
      <c r="C11" s="3214" t="s">
        <v>3044</v>
      </c>
      <c r="D11" s="3214">
        <v>27200</v>
      </c>
      <c r="E11" s="3214">
        <v>76160</v>
      </c>
      <c r="F11" s="3214">
        <v>2.8</v>
      </c>
      <c r="G11" s="3214">
        <f t="shared" si="0"/>
        <v>2.8</v>
      </c>
      <c r="H11" s="3214" t="s">
        <v>3052</v>
      </c>
      <c r="I11" s="3214" t="s">
        <v>3080</v>
      </c>
      <c r="J11" s="3214">
        <v>298100</v>
      </c>
      <c r="K11" s="3214">
        <v>312500</v>
      </c>
      <c r="L11" s="3214">
        <v>41032.04</v>
      </c>
      <c r="M11" s="3214">
        <v>4.83</v>
      </c>
      <c r="N11" s="3214" t="s">
        <v>3081</v>
      </c>
      <c r="O11" s="3215" t="s">
        <v>3059</v>
      </c>
    </row>
    <row r="12" spans="1:19" s="3190" customFormat="1" ht="24">
      <c r="A12" s="3197" t="s">
        <v>3082</v>
      </c>
      <c r="B12" s="3195" t="s">
        <v>1943</v>
      </c>
      <c r="C12" s="3195" t="s">
        <v>3056</v>
      </c>
      <c r="D12" s="3195">
        <v>21975.01</v>
      </c>
      <c r="E12" s="3195">
        <v>41704</v>
      </c>
      <c r="F12" s="3195">
        <v>1.9</v>
      </c>
      <c r="G12" s="3195">
        <f t="shared" si="0"/>
        <v>1.9</v>
      </c>
      <c r="H12" s="3195" t="s">
        <v>3052</v>
      </c>
      <c r="I12" s="3195" t="s">
        <v>3083</v>
      </c>
      <c r="J12" s="3195">
        <v>135000</v>
      </c>
      <c r="K12" s="3195">
        <v>167500</v>
      </c>
      <c r="L12" s="3195">
        <v>40164.01</v>
      </c>
      <c r="M12" s="3195">
        <v>24.07</v>
      </c>
      <c r="N12" s="3195" t="s">
        <v>3084</v>
      </c>
      <c r="O12" s="3190" t="s">
        <v>3059</v>
      </c>
      <c r="P12" s="3190">
        <v>33910</v>
      </c>
      <c r="Q12" s="3190">
        <f>ROUND(K12/P12*10000,0)</f>
        <v>49395</v>
      </c>
      <c r="R12" s="3190">
        <f>ROUND(J12/P12*10000,0)</f>
        <v>39811</v>
      </c>
      <c r="S12" s="3190">
        <v>61881</v>
      </c>
    </row>
    <row r="13" spans="1:19" s="3190" customFormat="1" ht="24">
      <c r="A13" s="3197" t="s">
        <v>3085</v>
      </c>
      <c r="B13" s="3195" t="s">
        <v>1943</v>
      </c>
      <c r="C13" s="3195" t="s">
        <v>3044</v>
      </c>
      <c r="D13" s="3195">
        <v>36708.14</v>
      </c>
      <c r="E13" s="3195">
        <v>102783</v>
      </c>
      <c r="F13" s="3195">
        <v>2.8</v>
      </c>
      <c r="G13" s="3195">
        <f t="shared" si="0"/>
        <v>2.8</v>
      </c>
      <c r="H13" s="3195" t="s">
        <v>3052</v>
      </c>
      <c r="I13" s="3195" t="s">
        <v>3086</v>
      </c>
      <c r="J13" s="3195">
        <v>420000</v>
      </c>
      <c r="K13" s="3195">
        <v>626000</v>
      </c>
      <c r="L13" s="3195">
        <v>60905.01</v>
      </c>
      <c r="M13" s="3195">
        <v>49.05</v>
      </c>
      <c r="N13" s="3195" t="s">
        <v>3087</v>
      </c>
      <c r="O13" s="3190" t="s">
        <v>3059</v>
      </c>
      <c r="P13" s="3190">
        <v>100313</v>
      </c>
      <c r="Q13" s="3190">
        <f>ROUND(K13/P13*10000,0)</f>
        <v>62405</v>
      </c>
      <c r="R13" s="3190">
        <f>ROUND(J13/P13*10000,0)</f>
        <v>41869</v>
      </c>
      <c r="S13" s="3190">
        <v>77800</v>
      </c>
    </row>
    <row r="14" spans="1:19" ht="24">
      <c r="A14" s="3191" t="s">
        <v>3088</v>
      </c>
      <c r="B14" s="3193" t="s">
        <v>1943</v>
      </c>
      <c r="C14" s="3193" t="s">
        <v>3056</v>
      </c>
      <c r="D14" s="3193">
        <v>65649.87</v>
      </c>
      <c r="E14" s="3193">
        <v>193846</v>
      </c>
      <c r="F14" s="3193" t="s">
        <v>3089</v>
      </c>
      <c r="G14" s="3193">
        <f t="shared" si="0"/>
        <v>2.95</v>
      </c>
      <c r="H14" s="3193" t="s">
        <v>3052</v>
      </c>
      <c r="I14" s="3193" t="s">
        <v>3090</v>
      </c>
      <c r="J14" s="3193">
        <v>525000</v>
      </c>
      <c r="K14" s="3193">
        <v>787000</v>
      </c>
      <c r="L14" s="3193">
        <v>40599.230000000003</v>
      </c>
      <c r="M14" s="3193">
        <v>49.9</v>
      </c>
      <c r="N14" s="3193" t="s">
        <v>3091</v>
      </c>
      <c r="O14" s="3188" t="s">
        <v>3059</v>
      </c>
    </row>
    <row r="15" spans="1:19" ht="24">
      <c r="A15" s="3191" t="s">
        <v>3092</v>
      </c>
      <c r="B15" s="3193" t="s">
        <v>1943</v>
      </c>
      <c r="C15" s="3193" t="s">
        <v>3056</v>
      </c>
      <c r="D15" s="3193">
        <v>35982.400000000001</v>
      </c>
      <c r="E15" s="3193">
        <v>86965</v>
      </c>
      <c r="F15" s="3193">
        <v>2.4</v>
      </c>
      <c r="G15" s="3193">
        <f t="shared" si="0"/>
        <v>2.42</v>
      </c>
      <c r="H15" s="3193" t="s">
        <v>3052</v>
      </c>
      <c r="I15" s="3193" t="s">
        <v>3093</v>
      </c>
      <c r="J15" s="3193">
        <v>230000</v>
      </c>
      <c r="K15" s="3193">
        <v>286000</v>
      </c>
      <c r="L15" s="3193">
        <v>32886.79</v>
      </c>
      <c r="M15" s="3193">
        <v>24.35</v>
      </c>
      <c r="N15" s="3193" t="s">
        <v>3094</v>
      </c>
      <c r="O15" s="3188" t="s">
        <v>3059</v>
      </c>
    </row>
    <row r="16" spans="1:19">
      <c r="A16" s="3191" t="s">
        <v>3095</v>
      </c>
      <c r="B16" s="3193" t="s">
        <v>1943</v>
      </c>
      <c r="C16" s="3193" t="s">
        <v>3056</v>
      </c>
      <c r="D16" s="3193">
        <v>75405.59</v>
      </c>
      <c r="E16" s="3193">
        <v>163968</v>
      </c>
      <c r="F16" s="3193">
        <v>2.2000000000000002</v>
      </c>
      <c r="G16" s="3193">
        <f t="shared" si="0"/>
        <v>2.17</v>
      </c>
      <c r="H16" s="3193" t="s">
        <v>3052</v>
      </c>
      <c r="I16" s="3193" t="s">
        <v>3096</v>
      </c>
      <c r="J16" s="3193">
        <v>415000</v>
      </c>
      <c r="K16" s="3193">
        <v>415000</v>
      </c>
      <c r="L16" s="3193">
        <v>25309.81</v>
      </c>
      <c r="M16" s="3193">
        <v>0</v>
      </c>
      <c r="N16" s="3193" t="s">
        <v>3097</v>
      </c>
      <c r="O16" s="3188" t="s">
        <v>3059</v>
      </c>
    </row>
    <row r="17" spans="1:15">
      <c r="A17" s="3191" t="s">
        <v>3098</v>
      </c>
      <c r="B17" s="3193" t="s">
        <v>1943</v>
      </c>
      <c r="C17" s="3193" t="s">
        <v>3044</v>
      </c>
      <c r="D17" s="3193">
        <v>53213.75</v>
      </c>
      <c r="E17" s="3193">
        <v>100410</v>
      </c>
      <c r="F17" s="3193">
        <v>1.9</v>
      </c>
      <c r="G17" s="3193">
        <f t="shared" si="0"/>
        <v>1.89</v>
      </c>
      <c r="H17" s="3193" t="s">
        <v>3052</v>
      </c>
      <c r="I17" s="3193" t="s">
        <v>3099</v>
      </c>
      <c r="J17" s="3193">
        <v>235000</v>
      </c>
      <c r="K17" s="3193">
        <v>289000</v>
      </c>
      <c r="L17" s="3193">
        <v>28781.99</v>
      </c>
      <c r="M17" s="3193">
        <v>22.98</v>
      </c>
      <c r="N17" s="3193" t="s">
        <v>3100</v>
      </c>
      <c r="O17" s="3188" t="s">
        <v>3059</v>
      </c>
    </row>
    <row r="18" spans="1:15">
      <c r="A18" s="3191" t="s">
        <v>3101</v>
      </c>
      <c r="B18" s="3193" t="s">
        <v>1943</v>
      </c>
      <c r="C18" s="3193" t="s">
        <v>3056</v>
      </c>
      <c r="D18" s="3193">
        <v>230355.9</v>
      </c>
      <c r="E18" s="3193">
        <v>249999</v>
      </c>
      <c r="F18" s="3193">
        <v>1.0900000000000001</v>
      </c>
      <c r="G18" s="3193">
        <f t="shared" si="0"/>
        <v>1.0900000000000001</v>
      </c>
      <c r="H18" s="3193" t="s">
        <v>3052</v>
      </c>
      <c r="I18" s="3193" t="s">
        <v>3102</v>
      </c>
      <c r="J18" s="3193">
        <v>500000</v>
      </c>
      <c r="K18" s="3193">
        <v>585000</v>
      </c>
      <c r="L18" s="3193">
        <v>23400.09</v>
      </c>
      <c r="M18" s="3193">
        <v>17</v>
      </c>
      <c r="N18" s="3193" t="s">
        <v>3103</v>
      </c>
      <c r="O18" s="3188" t="s">
        <v>3104</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304012</v>
      </c>
      <c r="C2" s="2089"/>
      <c r="D2" s="2089"/>
      <c r="E2" s="2089"/>
      <c r="F2" s="2089"/>
      <c r="G2" s="2089"/>
      <c r="H2" s="2089"/>
      <c r="I2" s="2089"/>
      <c r="J2" s="2089"/>
      <c r="K2" s="2089"/>
    </row>
    <row r="3" spans="1:31" s="2026" customFormat="1" ht="18" customHeight="1">
      <c r="A3" s="2091" t="s">
        <v>1684</v>
      </c>
      <c r="B3" s="2092">
        <f ca="1">ROUND(B2*10000/IF(B1="",'数据-汇总表'!E3,INDIRECT("'数据-取费表'!K"&amp;$K$1)),0)</f>
        <v>48202</v>
      </c>
      <c r="C3" s="2089"/>
      <c r="D3" s="2089"/>
      <c r="E3" s="2089"/>
      <c r="F3" s="2089"/>
      <c r="G3" s="2089"/>
      <c r="H3" s="2089"/>
      <c r="I3" s="2089"/>
      <c r="J3" s="2089"/>
      <c r="K3" s="2089"/>
    </row>
    <row r="4" spans="1:31" s="2026" customFormat="1" ht="18" customHeight="1">
      <c r="A4" s="426" t="s">
        <v>468</v>
      </c>
      <c r="B4" s="427">
        <f ca="1">ROUND(B2*10000/IF(B1="",'数据-汇总表'!D3,INDIRECT("'数据-取费表'!R"&amp;$K$1)),0)</f>
        <v>144606</v>
      </c>
      <c r="C4" s="428"/>
      <c r="D4" s="422"/>
      <c r="E4" s="422"/>
      <c r="F4" s="422"/>
      <c r="G4" s="422"/>
      <c r="H4" s="422"/>
      <c r="I4" s="422"/>
      <c r="J4" s="422"/>
      <c r="K4" s="422"/>
    </row>
    <row r="5" spans="1:31" s="2026" customFormat="1" ht="18" customHeight="1" thickBot="1">
      <c r="A5" s="429"/>
      <c r="B5" s="430">
        <f ca="1">ROUND(B2/(IF(B1="",'数据-汇总表'!D3,INDIRECT("'数据-取费表'!R"&amp;$K$1))/666.67),0)</f>
        <v>9640</v>
      </c>
      <c r="C5" s="431" t="s">
        <v>469</v>
      </c>
      <c r="D5" s="422"/>
      <c r="E5" s="422"/>
      <c r="F5" s="422"/>
      <c r="G5" s="422"/>
      <c r="H5" s="422"/>
      <c r="I5" s="422"/>
      <c r="J5" s="422"/>
      <c r="K5" s="422"/>
    </row>
    <row r="6" spans="1:31" s="2096" customFormat="1" ht="16.5" customHeight="1">
      <c r="A6" s="2783" t="s">
        <v>1842</v>
      </c>
      <c r="B6" s="2784"/>
      <c r="C6" s="2785">
        <f ca="1">SUM(C10:K10)</f>
        <v>520297</v>
      </c>
      <c r="D6" s="2784"/>
      <c r="E6" s="2784"/>
      <c r="F6" s="2784"/>
      <c r="G6" s="2784"/>
      <c r="H6" s="2784"/>
      <c r="I6" s="2784"/>
      <c r="J6" s="2784"/>
      <c r="K6" s="2786"/>
    </row>
    <row r="7" spans="1:31" s="2098" customFormat="1" ht="15">
      <c r="A7" s="2787" t="s">
        <v>470</v>
      </c>
      <c r="B7" s="2788" t="s">
        <v>471</v>
      </c>
      <c r="C7" s="436" t="s">
        <v>923</v>
      </c>
      <c r="D7" s="436" t="s">
        <v>3004</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111935</v>
      </c>
      <c r="D8" s="2789">
        <f ca="1">不动产收益法!B3</f>
        <v>61002</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44149</v>
      </c>
      <c r="D9" s="441">
        <f>SUMIF('数据-汇总表'!$C19:$C33,'剩余法-待开发'!D7,'数据-汇总表'!$E19:$E33)</f>
        <v>4281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494182</v>
      </c>
      <c r="D10" s="2981">
        <f ca="1">不动产收益法!B2</f>
        <v>26115</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36603</v>
      </c>
      <c r="D13" s="2799"/>
      <c r="E13" s="2800"/>
      <c r="F13" s="2801"/>
      <c r="G13" s="2767"/>
      <c r="H13" s="2768"/>
      <c r="I13" s="2768"/>
      <c r="J13" s="2768"/>
      <c r="K13" s="2769"/>
    </row>
    <row r="14" spans="1:31" s="2101" customFormat="1" ht="13.5" customHeight="1">
      <c r="A14" s="2797" t="s">
        <v>1849</v>
      </c>
      <c r="B14" s="2798" t="s">
        <v>480</v>
      </c>
      <c r="C14" s="53">
        <f ca="1">ROUND(C13*F14,0)</f>
        <v>1830</v>
      </c>
      <c r="D14" s="2799"/>
      <c r="E14" s="2800"/>
      <c r="F14" s="2802">
        <f>'数据-取费表'!B33</f>
        <v>0.05</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3532</v>
      </c>
      <c r="D15" s="2799"/>
      <c r="E15" s="2800"/>
      <c r="F15" s="2802">
        <f>'数据-取费表'!B34</f>
        <v>0.1</v>
      </c>
      <c r="G15" s="2767" t="s">
        <v>483</v>
      </c>
      <c r="H15" s="2768"/>
      <c r="I15" s="2768"/>
      <c r="J15" s="2768"/>
      <c r="K15" s="2769"/>
    </row>
    <row r="16" spans="1:31" s="2102" customFormat="1" ht="13.5" customHeight="1">
      <c r="A16" s="2797" t="s">
        <v>1851</v>
      </c>
      <c r="B16" s="2798" t="s">
        <v>484</v>
      </c>
      <c r="C16" s="53">
        <f ca="1">ROUND(D16*E16/10000,0)</f>
        <v>1261</v>
      </c>
      <c r="D16" s="2799">
        <f ca="1">IF(B1="",'数据-汇总表'!E3,INDIRECT("'数据-取费表'!K"&amp;$K$1)+INDIRECT("'数据-取费表'!S"&amp;$K$1))</f>
        <v>63070</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549</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43775</v>
      </c>
      <c r="D18" s="2808"/>
      <c r="E18" s="468"/>
      <c r="F18" s="468"/>
      <c r="G18" s="2771" t="s">
        <v>2426</v>
      </c>
      <c r="H18" s="2772"/>
      <c r="I18" s="2772"/>
      <c r="J18" s="2772"/>
      <c r="K18" s="2773"/>
      <c r="L18" s="2101">
        <f ca="1">C18/D16</f>
        <v>0.69407008086253374</v>
      </c>
    </row>
    <row r="19" spans="1:14" s="2101" customFormat="1" ht="13.5" customHeight="1">
      <c r="A19" s="2805" t="s">
        <v>1854</v>
      </c>
      <c r="B19" s="2806" t="s">
        <v>488</v>
      </c>
      <c r="C19" s="2763">
        <f ca="1">ROUND(D19*E19/10000,0)</f>
        <v>631</v>
      </c>
      <c r="D19" s="2809">
        <f ca="1">D16</f>
        <v>63070</v>
      </c>
      <c r="E19" s="2763">
        <f>'数据-取费表'!B32</f>
        <v>100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1068</v>
      </c>
      <c r="D20" s="2809"/>
      <c r="E20" s="2763"/>
      <c r="F20" s="2810"/>
      <c r="G20" s="3037"/>
      <c r="H20" s="2765"/>
      <c r="I20" s="2766" t="s">
        <v>2645</v>
      </c>
      <c r="J20" s="2772"/>
      <c r="K20" s="2773"/>
    </row>
    <row r="21" spans="1:14" s="2101" customFormat="1" ht="13.5" customHeight="1">
      <c r="A21" s="2797" t="s">
        <v>1856</v>
      </c>
      <c r="B21" s="2798" t="s">
        <v>491</v>
      </c>
      <c r="C21" s="53">
        <f ca="1">ROUND(D21*E21/10000,0)</f>
        <v>775</v>
      </c>
      <c r="D21" s="2799">
        <f ca="1">IF(B1="",'数据-汇总表'!E5,IF(INDIRECT("'数据-取费表'!c"&amp;$K$1)="住宅",INDIRECT("'数据-取费表'!k"&amp;$K$1),0))</f>
        <v>48430</v>
      </c>
      <c r="E21" s="53">
        <f>'数据-取费表'!B27</f>
        <v>160</v>
      </c>
      <c r="F21" s="2802"/>
      <c r="G21" s="26"/>
      <c r="H21" s="51"/>
      <c r="I21" s="51"/>
      <c r="J21" s="51"/>
      <c r="K21" s="2774"/>
    </row>
    <row r="22" spans="1:14" s="2101" customFormat="1" ht="13.5" customHeight="1">
      <c r="A22" s="2797" t="s">
        <v>1857</v>
      </c>
      <c r="B22" s="2798" t="s">
        <v>492</v>
      </c>
      <c r="C22" s="53">
        <f ca="1">ROUND(D22*E22/10000,0)</f>
        <v>293</v>
      </c>
      <c r="D22" s="2799">
        <f ca="1">IF(B1="",'数据-汇总表'!E6,IF(INDIRECT("'数据-取费表'!c"&amp;$K$1)="住宅",INDIRECT("'数据-取费表'!s"&amp;$K$1),INDIRECT("'数据-取费表'!k"&amp;$K$1)+INDIRECT("'数据-取费表'!s"&amp;$K$1)))</f>
        <v>14640</v>
      </c>
      <c r="E22" s="53">
        <f>'数据-取费表'!B28</f>
        <v>200</v>
      </c>
      <c r="F22" s="2802"/>
      <c r="G22" s="26"/>
      <c r="H22" s="51"/>
      <c r="I22" s="51"/>
      <c r="J22" s="51"/>
      <c r="K22" s="2774"/>
    </row>
    <row r="23" spans="1:14" s="2101" customFormat="1" ht="13.5" customHeight="1">
      <c r="A23" s="2805" t="s">
        <v>1858</v>
      </c>
      <c r="B23" s="2987" t="s">
        <v>2828</v>
      </c>
      <c r="C23" s="2807">
        <f ca="1">ROUND((C18+C19+C20)*F23,0)</f>
        <v>1364</v>
      </c>
      <c r="D23" s="468"/>
      <c r="E23" s="468"/>
      <c r="F23" s="2811">
        <f>'数据-取费表'!B37</f>
        <v>0.03</v>
      </c>
      <c r="G23" s="2767" t="s">
        <v>2427</v>
      </c>
      <c r="H23" s="2768"/>
      <c r="I23" s="2768"/>
      <c r="J23" s="2768"/>
      <c r="K23" s="2769"/>
      <c r="L23" s="2103"/>
      <c r="M23" s="2103"/>
      <c r="N23" s="2103"/>
    </row>
    <row r="24" spans="1:14" s="2101" customFormat="1" ht="13.5" customHeight="1">
      <c r="A24" s="2805" t="s">
        <v>1859</v>
      </c>
      <c r="B24" s="2987" t="s">
        <v>2831</v>
      </c>
      <c r="C24" s="2807">
        <f ca="1">ROUND(C6*F24,0)</f>
        <v>15609</v>
      </c>
      <c r="D24" s="475"/>
      <c r="E24" s="473"/>
      <c r="F24" s="2811">
        <f>'数据-取费表'!B38</f>
        <v>0.03</v>
      </c>
      <c r="G24" s="2776" t="s">
        <v>499</v>
      </c>
      <c r="H24" s="2770"/>
      <c r="I24" s="2770"/>
      <c r="J24" s="2770"/>
      <c r="K24" s="279"/>
      <c r="L24" s="2103"/>
      <c r="M24" s="2103"/>
      <c r="N24" s="2103"/>
    </row>
    <row r="25" spans="1:14" s="2104" customFormat="1" ht="13.5" customHeight="1">
      <c r="A25" s="2805" t="s">
        <v>1860</v>
      </c>
      <c r="B25" s="2987" t="s">
        <v>2829</v>
      </c>
      <c r="C25" s="467">
        <f>ROUND(F25/(1+'数据-取费表'!C42),4)</f>
        <v>2.9000000000000001E-2</v>
      </c>
      <c r="D25" s="462" t="s">
        <v>2823</v>
      </c>
      <c r="E25" s="469"/>
      <c r="F25" s="2811">
        <f>IF(项目基本情况!B8="出让",0,'数据-取费表'!B48+'数据-取费表'!B49)</f>
        <v>3.0499999999999999E-2</v>
      </c>
      <c r="G25" s="2775" t="s">
        <v>2285</v>
      </c>
      <c r="H25" s="2768"/>
      <c r="I25" s="2768"/>
      <c r="J25" s="2768"/>
      <c r="K25" s="2769"/>
    </row>
    <row r="26" spans="1:14" s="2103" customFormat="1" ht="13.5" customHeight="1">
      <c r="A26" s="2805" t="s">
        <v>1861</v>
      </c>
      <c r="B26" s="2988" t="s">
        <v>2830</v>
      </c>
      <c r="C26" s="2812">
        <f ca="1">C28</f>
        <v>3730</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2832</v>
      </c>
      <c r="C28" s="2815">
        <f ca="1">ROUND(IF('数据-取费表'!B22&lt;=1,(C18+C19+C20+C23+C24)*F26*'数据-取费表'!B24/2,(C18+C19+C20+C23+C24)*(POWER((1+F26),'数据-取费表'!B24/2)-1)),0)</f>
        <v>3730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27749</v>
      </c>
      <c r="D29" s="468"/>
      <c r="E29" s="468"/>
      <c r="F29" s="2989">
        <f>'数据-取费表'!B41</f>
        <v>5.6000000000000001E-2</v>
      </c>
      <c r="G29" s="2776" t="s">
        <v>498</v>
      </c>
      <c r="H29" s="2768"/>
      <c r="I29" s="2768"/>
      <c r="J29" s="2768"/>
      <c r="K29" s="2769"/>
    </row>
    <row r="30" spans="1:14" s="2106" customFormat="1" ht="13.5" customHeight="1">
      <c r="A30" s="1621" t="s">
        <v>1863</v>
      </c>
      <c r="B30" s="2817" t="s">
        <v>500</v>
      </c>
      <c r="C30" s="2812">
        <f ca="1">C31</f>
        <v>93926</v>
      </c>
      <c r="D30" s="477">
        <f ca="1">C32</f>
        <v>0.15559999999999999</v>
      </c>
      <c r="E30" s="469" t="s">
        <v>495</v>
      </c>
      <c r="F30" s="471"/>
      <c r="G30" s="2775" t="s">
        <v>2954</v>
      </c>
      <c r="H30" s="2768"/>
      <c r="I30" s="2768"/>
      <c r="J30" s="2768"/>
      <c r="K30" s="2769"/>
    </row>
    <row r="31" spans="1:14" s="2105" customFormat="1" ht="13.5" customHeight="1">
      <c r="A31" s="803" t="s">
        <v>1856</v>
      </c>
      <c r="B31" s="2813"/>
      <c r="C31" s="450">
        <f ca="1">C18+C19+C20+C23+C24+C26+C29</f>
        <v>93926</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2827</v>
      </c>
      <c r="B33" s="2984" t="s">
        <v>2825</v>
      </c>
      <c r="C33" s="478">
        <f ca="1">C35</f>
        <v>12489</v>
      </c>
      <c r="D33" s="467">
        <f ca="1">C34</f>
        <v>0.20580000000000001</v>
      </c>
      <c r="E33" s="469" t="s">
        <v>495</v>
      </c>
      <c r="F33" s="479">
        <f ca="1">IF(B1="",'数据-取费表'!Q16,INDIRECT("'数据-取费表'!q"&amp;$K$1))</f>
        <v>0.2</v>
      </c>
      <c r="G33" s="2771"/>
      <c r="H33" s="2772"/>
      <c r="I33" s="2772"/>
      <c r="J33" s="2772"/>
      <c r="K33" s="2773"/>
    </row>
    <row r="34" spans="1:11" s="2108" customFormat="1" ht="13.5" customHeight="1">
      <c r="A34" s="375" t="s">
        <v>1856</v>
      </c>
      <c r="B34" s="2818" t="s">
        <v>501</v>
      </c>
      <c r="C34" s="472">
        <f ca="1">ROUND((1+C25)*F33,4)</f>
        <v>0.20580000000000001</v>
      </c>
      <c r="D34" s="472"/>
      <c r="E34" s="473"/>
      <c r="F34" s="480"/>
      <c r="G34" s="261" t="s">
        <v>2286</v>
      </c>
      <c r="H34" s="2770"/>
      <c r="I34" s="2770"/>
      <c r="J34" s="2770"/>
      <c r="K34" s="279"/>
    </row>
    <row r="35" spans="1:11" s="2108" customFormat="1" ht="13.5" customHeight="1" thickBot="1">
      <c r="A35" s="1622" t="s">
        <v>1857</v>
      </c>
      <c r="B35" s="2985" t="s">
        <v>2833</v>
      </c>
      <c r="C35" s="1614">
        <f ca="1">ROUND((C18+C19+C20+C23+C24)*F33,0)</f>
        <v>12489</v>
      </c>
      <c r="D35" s="1615"/>
      <c r="E35" s="2819"/>
      <c r="F35" s="1616"/>
      <c r="G35" s="2777"/>
      <c r="H35" s="2778"/>
      <c r="I35" s="2778"/>
      <c r="J35" s="2778"/>
      <c r="K35" s="2779"/>
    </row>
    <row r="36" spans="1:11" s="2070" customFormat="1" ht="13.5" customHeight="1" thickBot="1">
      <c r="A36" s="284" t="s">
        <v>1844</v>
      </c>
      <c r="B36" s="2781"/>
      <c r="C36" s="2820">
        <f ca="1">ROUND((C6-C30-C33)/(1+D30+D33),0)</f>
        <v>304012</v>
      </c>
      <c r="D36" s="2781"/>
      <c r="E36" s="2781"/>
      <c r="F36" s="2781"/>
      <c r="G36" s="2780" t="s">
        <v>2834</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2646</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36603</v>
      </c>
      <c r="D13" s="451"/>
      <c r="E13" s="365"/>
      <c r="F13" s="452"/>
      <c r="G13" s="444"/>
      <c r="H13" s="447"/>
      <c r="I13" s="447"/>
      <c r="J13" s="447"/>
      <c r="K13" s="448"/>
    </row>
    <row r="14" spans="1:41" s="2101" customFormat="1" ht="13.5" customHeight="1">
      <c r="A14" s="1619" t="s">
        <v>1849</v>
      </c>
      <c r="B14" s="449" t="s">
        <v>480</v>
      </c>
      <c r="C14" s="53">
        <f ca="1">ROUND(C13*F14,0)</f>
        <v>1830</v>
      </c>
      <c r="D14" s="451"/>
      <c r="E14" s="365"/>
      <c r="F14" s="453">
        <f>'数据-取费表'!B33</f>
        <v>0.05</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3532</v>
      </c>
      <c r="D15" s="451"/>
      <c r="E15" s="365"/>
      <c r="F15" s="453">
        <f>'数据-取费表'!B34</f>
        <v>0.1</v>
      </c>
      <c r="G15" s="444" t="s">
        <v>502</v>
      </c>
      <c r="H15" s="447"/>
      <c r="I15" s="447"/>
      <c r="J15" s="447"/>
      <c r="K15" s="448"/>
    </row>
    <row r="16" spans="1:41" s="2102" customFormat="1" ht="13.5" customHeight="1">
      <c r="A16" s="1619" t="s">
        <v>1851</v>
      </c>
      <c r="B16" s="449" t="s">
        <v>484</v>
      </c>
      <c r="C16" s="53">
        <f ca="1">ROUND(D16*E16/10000,0)</f>
        <v>1261</v>
      </c>
      <c r="D16" s="451">
        <f ca="1">IF(B1="",'数据-汇总表'!E3,INDIRECT("'数据-取费表'!K"&amp;$K$1)+INDIRECT("'数据-取费表'!S"&amp;$K$1))</f>
        <v>63070</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549</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43775</v>
      </c>
      <c r="D18" s="461"/>
      <c r="E18" s="462"/>
      <c r="F18" s="462"/>
      <c r="G18" s="1323" t="s">
        <v>2428</v>
      </c>
      <c r="H18" s="447"/>
      <c r="I18" s="447"/>
      <c r="J18" s="447"/>
      <c r="K18" s="448"/>
    </row>
    <row r="19" spans="1:14" s="2104" customFormat="1" ht="13.5" customHeight="1">
      <c r="A19" s="1620" t="s">
        <v>1854</v>
      </c>
      <c r="B19" s="459" t="s">
        <v>493</v>
      </c>
      <c r="C19" s="460">
        <f ca="1">ROUND(C18*F19,0)</f>
        <v>1313</v>
      </c>
      <c r="D19" s="462"/>
      <c r="E19" s="462"/>
      <c r="F19" s="466">
        <f>'数据-取费表'!B37</f>
        <v>0.03</v>
      </c>
      <c r="G19" s="444" t="s">
        <v>503</v>
      </c>
      <c r="H19" s="447"/>
      <c r="I19" s="447"/>
      <c r="J19" s="447"/>
      <c r="K19" s="448"/>
      <c r="L19" s="2106"/>
      <c r="M19" s="2106"/>
      <c r="N19" s="2106"/>
    </row>
    <row r="20" spans="1:14" s="2104" customFormat="1" ht="13.5" customHeight="1">
      <c r="A20" s="1620" t="s">
        <v>1855</v>
      </c>
      <c r="B20" s="459" t="s">
        <v>504</v>
      </c>
      <c r="C20" s="2982">
        <f>F20</f>
        <v>0.03</v>
      </c>
      <c r="D20" s="469" t="s">
        <v>505</v>
      </c>
      <c r="E20" s="469"/>
      <c r="F20" s="486">
        <f>'数据-取费表'!B38</f>
        <v>0.03</v>
      </c>
      <c r="G20" s="1323" t="s">
        <v>506</v>
      </c>
      <c r="H20" s="447"/>
      <c r="I20" s="447"/>
      <c r="J20" s="447"/>
      <c r="K20" s="448"/>
      <c r="L20" s="2106"/>
      <c r="M20" s="2106"/>
      <c r="N20" s="2106"/>
    </row>
    <row r="21" spans="1:14" s="2106" customFormat="1" ht="13.5" customHeight="1">
      <c r="A21" s="1620" t="s">
        <v>1858</v>
      </c>
      <c r="B21" s="461" t="s">
        <v>494</v>
      </c>
      <c r="C21" s="470">
        <f ca="1">C22</f>
        <v>2693</v>
      </c>
      <c r="D21" s="467">
        <f ca="1">C23</f>
        <v>1.8E-3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2450</v>
      </c>
    </row>
    <row r="22" spans="1:14" s="2105" customFormat="1" ht="13.5" customHeight="1">
      <c r="A22" s="1619" t="s">
        <v>1848</v>
      </c>
      <c r="B22" s="1324" t="s">
        <v>2431</v>
      </c>
      <c r="C22" s="487">
        <f ca="1">ROUND(IF('数据-取费表'!B22&lt;=1,(C18+C19)*F21*'数据-取费表'!B20/2,(C18+C19)*(POWER((1+F21),'数据-取费表'!B20/2)-1)),0)</f>
        <v>2693</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1.8E-3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4" t="s">
        <v>2826</v>
      </c>
      <c r="C24" s="478">
        <f ca="1">C25</f>
        <v>9018</v>
      </c>
      <c r="D24" s="489">
        <f ca="1">C26</f>
        <v>6.0000000000000001E-3</v>
      </c>
      <c r="E24" s="469" t="s">
        <v>507</v>
      </c>
      <c r="F24" s="479">
        <f ca="1">IF(B1="",'数据-取费表'!Q16,INDIRECT("'数据-取费表'!q"&amp;$K$1))</f>
        <v>0.2</v>
      </c>
      <c r="G24" s="444"/>
      <c r="H24" s="447"/>
      <c r="I24" s="447"/>
      <c r="J24" s="447"/>
      <c r="K24" s="448"/>
    </row>
    <row r="25" spans="1:14" s="2105" customFormat="1" ht="13.5" customHeight="1">
      <c r="A25" s="1619" t="s">
        <v>1848</v>
      </c>
      <c r="B25" s="1324" t="s">
        <v>2432</v>
      </c>
      <c r="C25" s="490">
        <f ca="1">ROUND((C18+C19)*F24,0)</f>
        <v>9018</v>
      </c>
      <c r="D25" s="472"/>
      <c r="E25" s="473"/>
      <c r="F25" s="480"/>
      <c r="G25" s="1322" t="s">
        <v>2429</v>
      </c>
      <c r="H25" s="457"/>
      <c r="I25" s="457"/>
      <c r="J25" s="457"/>
      <c r="K25" s="458"/>
    </row>
    <row r="26" spans="1:14" s="2105" customFormat="1" ht="13.5" customHeight="1">
      <c r="A26" s="1619" t="s">
        <v>1849</v>
      </c>
      <c r="B26" s="1324" t="s">
        <v>509</v>
      </c>
      <c r="C26" s="491">
        <f ca="1">ROUND(F20*F24,4)</f>
        <v>6.0000000000000001E-3</v>
      </c>
      <c r="D26" s="472"/>
      <c r="E26" s="481"/>
      <c r="F26" s="480"/>
      <c r="G26" s="1322" t="s">
        <v>510</v>
      </c>
      <c r="H26" s="457"/>
      <c r="I26" s="457"/>
      <c r="J26" s="457"/>
      <c r="K26" s="458"/>
    </row>
    <row r="27" spans="1:14" s="2105" customFormat="1" ht="13.5" customHeight="1">
      <c r="A27" s="1623" t="s">
        <v>1867</v>
      </c>
      <c r="B27" s="459" t="s">
        <v>511</v>
      </c>
      <c r="C27" s="2983">
        <f>ROUND(F27/(1+'数据-取费表'!C42),4)</f>
        <v>5.33E-2</v>
      </c>
      <c r="D27" s="462" t="s">
        <v>2824</v>
      </c>
      <c r="E27" s="462"/>
      <c r="F27" s="466">
        <f>'数据-取费表'!B41</f>
        <v>5.6000000000000001E-2</v>
      </c>
      <c r="G27" s="1945" t="s">
        <v>2287</v>
      </c>
      <c r="H27" s="447"/>
      <c r="I27" s="447"/>
      <c r="J27" s="447"/>
      <c r="K27" s="448"/>
    </row>
    <row r="28" spans="1:14" s="2106" customFormat="1" ht="13.5" customHeight="1">
      <c r="A28" s="1623" t="s">
        <v>1868</v>
      </c>
      <c r="B28" s="476" t="s">
        <v>512</v>
      </c>
      <c r="C28" s="470">
        <f ca="1">ROUND((C18+C19+C21+C24)/(1-C20-D21-D24-C27),0)</f>
        <v>62492</v>
      </c>
      <c r="D28" s="477"/>
      <c r="E28" s="469"/>
      <c r="F28" s="471"/>
      <c r="G28" s="1323" t="s">
        <v>2430</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415" t="s">
        <v>522</v>
      </c>
      <c r="D6" s="3416"/>
      <c r="E6" s="3440" t="s">
        <v>523</v>
      </c>
      <c r="F6" s="3441"/>
      <c r="G6" s="3415" t="s">
        <v>524</v>
      </c>
      <c r="H6" s="3416"/>
      <c r="I6" s="3415" t="s">
        <v>525</v>
      </c>
      <c r="J6" s="3416"/>
      <c r="K6" s="514" t="s">
        <v>526</v>
      </c>
      <c r="L6" s="2118"/>
      <c r="M6" s="2119"/>
      <c r="N6" s="2119"/>
      <c r="O6" s="2119"/>
      <c r="P6" s="3417" t="s">
        <v>527</v>
      </c>
      <c r="Q6" s="3418"/>
      <c r="R6" s="3403" t="s">
        <v>523</v>
      </c>
      <c r="S6" s="3404"/>
      <c r="T6" s="3403" t="s">
        <v>524</v>
      </c>
      <c r="U6" s="3404"/>
      <c r="V6" s="3423" t="s">
        <v>525</v>
      </c>
      <c r="W6" s="3423"/>
      <c r="X6" s="1554"/>
      <c r="Y6" s="3403" t="s">
        <v>527</v>
      </c>
      <c r="Z6" s="3404"/>
      <c r="AA6" s="3398" t="s">
        <v>523</v>
      </c>
      <c r="AB6" s="3399" t="s">
        <v>524</v>
      </c>
      <c r="AC6" s="3398" t="s">
        <v>525</v>
      </c>
    </row>
    <row r="7" spans="1:29" ht="15">
      <c r="A7" s="515"/>
      <c r="B7" s="516"/>
      <c r="C7" s="3444" t="s">
        <v>2912</v>
      </c>
      <c r="D7" s="3445"/>
      <c r="E7" s="3442" t="s">
        <v>2913</v>
      </c>
      <c r="F7" s="3443"/>
      <c r="G7" s="3444" t="s">
        <v>2914</v>
      </c>
      <c r="H7" s="3445"/>
      <c r="I7" s="3444" t="s">
        <v>2915</v>
      </c>
      <c r="J7" s="3445"/>
      <c r="K7" s="514"/>
      <c r="L7" s="2118"/>
      <c r="M7" s="2119"/>
      <c r="N7" s="2119"/>
      <c r="O7" s="2119"/>
      <c r="P7" s="3419"/>
      <c r="Q7" s="3420"/>
      <c r="R7" s="3405"/>
      <c r="S7" s="3406"/>
      <c r="T7" s="3405"/>
      <c r="U7" s="3406"/>
      <c r="V7" s="3423"/>
      <c r="W7" s="3423"/>
      <c r="X7" s="1554"/>
      <c r="Y7" s="3405"/>
      <c r="Z7" s="3406"/>
      <c r="AA7" s="3399"/>
      <c r="AB7" s="3399"/>
      <c r="AC7" s="3399"/>
    </row>
    <row r="8" spans="1:29" ht="15.75" thickBot="1">
      <c r="A8" s="517"/>
      <c r="B8" s="518"/>
      <c r="C8" s="3446" t="s">
        <v>2916</v>
      </c>
      <c r="D8" s="3447"/>
      <c r="E8" s="3448" t="s">
        <v>2916</v>
      </c>
      <c r="F8" s="3449"/>
      <c r="G8" s="3446" t="s">
        <v>2916</v>
      </c>
      <c r="H8" s="3447"/>
      <c r="I8" s="3446" t="s">
        <v>2916</v>
      </c>
      <c r="J8" s="3447"/>
      <c r="K8" s="514" t="s">
        <v>528</v>
      </c>
      <c r="L8" s="2118"/>
      <c r="M8" s="2119"/>
      <c r="N8" s="2119"/>
      <c r="O8" s="2119"/>
      <c r="P8" s="3421"/>
      <c r="Q8" s="3422"/>
      <c r="R8" s="3405"/>
      <c r="S8" s="3406"/>
      <c r="T8" s="3407"/>
      <c r="U8" s="3408"/>
      <c r="V8" s="3423"/>
      <c r="W8" s="3423"/>
      <c r="X8" s="1554"/>
      <c r="Y8" s="3407"/>
      <c r="Z8" s="3408"/>
      <c r="AA8" s="3400"/>
      <c r="AB8" s="3400"/>
      <c r="AC8" s="3400"/>
    </row>
    <row r="9" spans="1:29" s="1216" customFormat="1" ht="15.75" thickBot="1">
      <c r="A9" s="2867"/>
      <c r="B9" s="2874" t="s">
        <v>529</v>
      </c>
      <c r="C9" s="519">
        <f>'数据-取费表'!B2</f>
        <v>43910</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1" t="s">
        <v>530</v>
      </c>
      <c r="Q9" s="3410"/>
      <c r="R9" s="1555" t="s">
        <v>8</v>
      </c>
      <c r="S9" s="1556">
        <f t="shared" ref="S9:S17" si="0">F9</f>
        <v>0</v>
      </c>
      <c r="T9" s="1555" t="s">
        <v>8</v>
      </c>
      <c r="U9" s="1556">
        <f t="shared" ref="U9:U17" si="1">H9</f>
        <v>0</v>
      </c>
      <c r="V9" s="1555" t="s">
        <v>8</v>
      </c>
      <c r="W9" s="1556">
        <f t="shared" ref="W9:W17" si="2">J9</f>
        <v>0</v>
      </c>
      <c r="X9" s="1557"/>
      <c r="Y9" s="3401" t="s">
        <v>530</v>
      </c>
      <c r="Z9" s="3402"/>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1" t="s">
        <v>533</v>
      </c>
      <c r="Q10" s="3402"/>
      <c r="R10" s="1555" t="s">
        <v>8</v>
      </c>
      <c r="S10" s="1556">
        <f t="shared" si="0"/>
        <v>0</v>
      </c>
      <c r="T10" s="1555" t="s">
        <v>8</v>
      </c>
      <c r="U10" s="1556">
        <f t="shared" si="1"/>
        <v>0</v>
      </c>
      <c r="V10" s="1555" t="s">
        <v>8</v>
      </c>
      <c r="W10" s="1556">
        <f t="shared" si="2"/>
        <v>0</v>
      </c>
      <c r="X10" s="1557"/>
      <c r="Y10" s="3401" t="s">
        <v>533</v>
      </c>
      <c r="Z10" s="3402"/>
      <c r="AA10" s="1558" t="e">
        <f t="shared" ref="AA10:AA42" si="3">D10/F10</f>
        <v>#DIV/0!</v>
      </c>
      <c r="AB10" s="1558" t="e">
        <f t="shared" ref="AB10:AB42" si="4">D10/H10</f>
        <v>#DIV/0!</v>
      </c>
      <c r="AC10" s="1558" t="e">
        <f t="shared" ref="AC10:AC42" si="5">D10/J10</f>
        <v>#DIV/0!</v>
      </c>
    </row>
    <row r="11" spans="1:29" s="1216" customFormat="1" ht="15">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09" t="s">
        <v>535</v>
      </c>
      <c r="Q11" s="1147" t="str">
        <f t="shared" ref="Q11:Q17" si="6">B11</f>
        <v>用途</v>
      </c>
      <c r="R11" s="1555" t="s">
        <v>8</v>
      </c>
      <c r="S11" s="1556">
        <f t="shared" si="0"/>
        <v>100</v>
      </c>
      <c r="T11" s="1555" t="s">
        <v>8</v>
      </c>
      <c r="U11" s="1556">
        <f t="shared" si="1"/>
        <v>100</v>
      </c>
      <c r="V11" s="1555" t="s">
        <v>8</v>
      </c>
      <c r="W11" s="1556">
        <f t="shared" si="2"/>
        <v>100</v>
      </c>
      <c r="X11" s="1557"/>
      <c r="Y11" s="3366" t="s">
        <v>536</v>
      </c>
      <c r="Z11" s="1146" t="str">
        <f t="shared" ref="Z11:Z17" si="7">Q11</f>
        <v>用途</v>
      </c>
      <c r="AA11" s="1558">
        <f t="shared" si="3"/>
        <v>1</v>
      </c>
      <c r="AB11" s="1558">
        <f t="shared" si="4"/>
        <v>1</v>
      </c>
      <c r="AC11" s="1558">
        <f t="shared" si="5"/>
        <v>1</v>
      </c>
    </row>
    <row r="12" spans="1:29" s="1334" customFormat="1" ht="27">
      <c r="A12" s="2870"/>
      <c r="B12" s="2875" t="s">
        <v>2751</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09"/>
      <c r="Q12" s="1147" t="str">
        <f t="shared" si="6"/>
        <v>土地使用年限（年）</v>
      </c>
      <c r="R12" s="1555" t="s">
        <v>8</v>
      </c>
      <c r="S12" s="1556">
        <f t="shared" si="0"/>
        <v>100</v>
      </c>
      <c r="T12" s="1555" t="s">
        <v>8</v>
      </c>
      <c r="U12" s="1556">
        <f t="shared" si="1"/>
        <v>100</v>
      </c>
      <c r="V12" s="1555" t="s">
        <v>8</v>
      </c>
      <c r="W12" s="1556">
        <f t="shared" si="2"/>
        <v>100</v>
      </c>
      <c r="X12" s="1557"/>
      <c r="Y12" s="3366"/>
      <c r="Z12" s="1146" t="str">
        <f t="shared" si="7"/>
        <v>土地使用年限（年）</v>
      </c>
      <c r="AA12" s="1558">
        <f t="shared" si="3"/>
        <v>1</v>
      </c>
      <c r="AB12" s="1558">
        <f t="shared" si="4"/>
        <v>1</v>
      </c>
      <c r="AC12" s="1558">
        <f t="shared" si="5"/>
        <v>1</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09"/>
      <c r="Q13" s="1147" t="str">
        <f t="shared" si="6"/>
        <v>容积率</v>
      </c>
      <c r="R13" s="1555" t="s">
        <v>8</v>
      </c>
      <c r="S13" s="1556" t="e">
        <f t="shared" si="0"/>
        <v>#N/A</v>
      </c>
      <c r="T13" s="1555" t="s">
        <v>8</v>
      </c>
      <c r="U13" s="1556" t="e">
        <f t="shared" si="1"/>
        <v>#N/A</v>
      </c>
      <c r="V13" s="1555" t="s">
        <v>8</v>
      </c>
      <c r="W13" s="1556" t="e">
        <f t="shared" si="2"/>
        <v>#N/A</v>
      </c>
      <c r="X13" s="1557"/>
      <c r="Y13" s="3366"/>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09"/>
      <c r="Q14" s="1147">
        <f t="shared" si="6"/>
        <v>111</v>
      </c>
      <c r="R14" s="1555" t="s">
        <v>8</v>
      </c>
      <c r="S14" s="1556">
        <f t="shared" si="0"/>
        <v>100</v>
      </c>
      <c r="T14" s="1555" t="s">
        <v>8</v>
      </c>
      <c r="U14" s="1556">
        <f t="shared" si="1"/>
        <v>100</v>
      </c>
      <c r="V14" s="1555" t="s">
        <v>8</v>
      </c>
      <c r="W14" s="1556">
        <f t="shared" si="2"/>
        <v>100</v>
      </c>
      <c r="X14" s="1557"/>
      <c r="Y14" s="3366"/>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09"/>
      <c r="Q15" s="1147">
        <f t="shared" si="6"/>
        <v>111</v>
      </c>
      <c r="R15" s="1555" t="s">
        <v>8</v>
      </c>
      <c r="S15" s="1556">
        <f t="shared" si="0"/>
        <v>100</v>
      </c>
      <c r="T15" s="1555" t="s">
        <v>8</v>
      </c>
      <c r="U15" s="1556">
        <f t="shared" si="1"/>
        <v>100</v>
      </c>
      <c r="V15" s="1555" t="s">
        <v>8</v>
      </c>
      <c r="W15" s="1556">
        <f t="shared" si="2"/>
        <v>100</v>
      </c>
      <c r="X15" s="1557"/>
      <c r="Y15" s="3366"/>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09"/>
      <c r="Q16" s="1147">
        <f t="shared" si="6"/>
        <v>111</v>
      </c>
      <c r="R16" s="1555" t="s">
        <v>8</v>
      </c>
      <c r="S16" s="1556">
        <f t="shared" si="0"/>
        <v>100</v>
      </c>
      <c r="T16" s="1555" t="s">
        <v>8</v>
      </c>
      <c r="U16" s="1556">
        <f t="shared" si="1"/>
        <v>100</v>
      </c>
      <c r="V16" s="1555" t="s">
        <v>8</v>
      </c>
      <c r="W16" s="1556">
        <f t="shared" si="2"/>
        <v>100</v>
      </c>
      <c r="X16" s="1557"/>
      <c r="Y16" s="3366"/>
      <c r="Z16" s="1146">
        <f t="shared" si="7"/>
        <v>111</v>
      </c>
      <c r="AA16" s="1558">
        <f t="shared" si="3"/>
        <v>1</v>
      </c>
      <c r="AB16" s="1558">
        <f t="shared" si="4"/>
        <v>1</v>
      </c>
      <c r="AC16" s="1558">
        <f t="shared" si="5"/>
        <v>1</v>
      </c>
    </row>
    <row r="17" spans="1:29" ht="15">
      <c r="A17" s="2865" t="s">
        <v>2748</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1" t="s">
        <v>540</v>
      </c>
      <c r="Q17" s="1559" t="str">
        <f t="shared" si="6"/>
        <v>产业集聚程度</v>
      </c>
      <c r="R17" s="1560" t="s">
        <v>8</v>
      </c>
      <c r="S17" s="1561">
        <f t="shared" si="0"/>
        <v>100</v>
      </c>
      <c r="T17" s="1560" t="s">
        <v>8</v>
      </c>
      <c r="U17" s="1561">
        <f t="shared" si="1"/>
        <v>100</v>
      </c>
      <c r="V17" s="1560" t="s">
        <v>8</v>
      </c>
      <c r="W17" s="1561">
        <f t="shared" si="2"/>
        <v>100</v>
      </c>
      <c r="X17" s="1554"/>
      <c r="Y17" s="3411"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12"/>
      <c r="Q18" s="1559"/>
      <c r="R18" s="1560"/>
      <c r="S18" s="1561"/>
      <c r="T18" s="1560"/>
      <c r="U18" s="1561"/>
      <c r="V18" s="1560"/>
      <c r="W18" s="1561"/>
      <c r="X18" s="1554"/>
      <c r="Y18" s="3412"/>
      <c r="Z18" s="1562"/>
      <c r="AA18" s="1563">
        <v>1</v>
      </c>
      <c r="AB18" s="1563">
        <v>1</v>
      </c>
      <c r="AC18" s="1563">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2"/>
      <c r="Q19" s="1559" t="str">
        <f>B19</f>
        <v>交通便捷度</v>
      </c>
      <c r="R19" s="1560" t="s">
        <v>8</v>
      </c>
      <c r="S19" s="1561">
        <f>F19</f>
        <v>100</v>
      </c>
      <c r="T19" s="1560" t="s">
        <v>8</v>
      </c>
      <c r="U19" s="1561">
        <f>H19</f>
        <v>100</v>
      </c>
      <c r="V19" s="1560" t="s">
        <v>8</v>
      </c>
      <c r="W19" s="1561">
        <f>J19</f>
        <v>100</v>
      </c>
      <c r="X19" s="1554"/>
      <c r="Y19" s="341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12"/>
      <c r="Q20" s="1559"/>
      <c r="R20" s="1560"/>
      <c r="S20" s="1561"/>
      <c r="T20" s="1560"/>
      <c r="U20" s="1561"/>
      <c r="V20" s="1560"/>
      <c r="W20" s="1561"/>
      <c r="X20" s="1554"/>
      <c r="Y20" s="3412"/>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12"/>
      <c r="Q21" s="1559" t="str">
        <f t="shared" ref="Q21:Q35" si="8">B21</f>
        <v>区域土地利用方向</v>
      </c>
      <c r="R21" s="1560" t="s">
        <v>8</v>
      </c>
      <c r="S21" s="1561">
        <f>F21</f>
        <v>100</v>
      </c>
      <c r="T21" s="1560" t="s">
        <v>8</v>
      </c>
      <c r="U21" s="1561">
        <f>H21</f>
        <v>100</v>
      </c>
      <c r="V21" s="1560" t="s">
        <v>8</v>
      </c>
      <c r="W21" s="1561">
        <f>J21</f>
        <v>100</v>
      </c>
      <c r="X21" s="1554"/>
      <c r="Y21" s="341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12"/>
      <c r="Q22" s="1559"/>
      <c r="R22" s="1560"/>
      <c r="S22" s="1561"/>
      <c r="T22" s="1560"/>
      <c r="U22" s="1561"/>
      <c r="V22" s="1560"/>
      <c r="W22" s="1561"/>
      <c r="X22" s="1554"/>
      <c r="Y22" s="3412"/>
      <c r="Z22" s="1562"/>
      <c r="AA22" s="1563"/>
      <c r="AB22" s="1563"/>
      <c r="AC22" s="1563"/>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2"/>
      <c r="Q23" s="1559" t="str">
        <f t="shared" si="8"/>
        <v>环境状况</v>
      </c>
      <c r="R23" s="1560" t="s">
        <v>8</v>
      </c>
      <c r="S23" s="1561">
        <f>F23</f>
        <v>100</v>
      </c>
      <c r="T23" s="1560" t="s">
        <v>8</v>
      </c>
      <c r="U23" s="1561">
        <f>H23</f>
        <v>100</v>
      </c>
      <c r="V23" s="1560" t="s">
        <v>8</v>
      </c>
      <c r="W23" s="1561">
        <f>J23</f>
        <v>100</v>
      </c>
      <c r="X23" s="1554"/>
      <c r="Y23" s="341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12"/>
      <c r="Q24" s="1559"/>
      <c r="R24" s="1560"/>
      <c r="S24" s="1561"/>
      <c r="T24" s="1560"/>
      <c r="U24" s="1561"/>
      <c r="V24" s="1560"/>
      <c r="W24" s="1561"/>
      <c r="X24" s="1554"/>
      <c r="Y24" s="3412"/>
      <c r="Z24" s="1562"/>
      <c r="AA24" s="1563">
        <v>1</v>
      </c>
      <c r="AB24" s="1563">
        <v>1</v>
      </c>
      <c r="AC24" s="1563">
        <v>1</v>
      </c>
    </row>
    <row r="25" spans="1:29" s="1216" customFormat="1" ht="15">
      <c r="A25" s="577"/>
      <c r="B25" s="2557" t="s">
        <v>2544</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2"/>
      <c r="Q25" s="1147" t="str">
        <f t="shared" si="8"/>
        <v>公共配套设施</v>
      </c>
      <c r="R25" s="1555" t="s">
        <v>8</v>
      </c>
      <c r="S25" s="1556">
        <f>F25</f>
        <v>100</v>
      </c>
      <c r="T25" s="1555" t="s">
        <v>8</v>
      </c>
      <c r="U25" s="1556">
        <f>H25</f>
        <v>100</v>
      </c>
      <c r="V25" s="1555" t="s">
        <v>8</v>
      </c>
      <c r="W25" s="1556">
        <f>J25</f>
        <v>100</v>
      </c>
      <c r="X25" s="1557"/>
      <c r="Y25" s="3412"/>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12"/>
      <c r="Q26" s="1147"/>
      <c r="R26" s="1555"/>
      <c r="S26" s="1556"/>
      <c r="T26" s="1555"/>
      <c r="U26" s="1556"/>
      <c r="V26" s="1555"/>
      <c r="W26" s="1556"/>
      <c r="X26" s="1557"/>
      <c r="Y26" s="3412"/>
      <c r="Z26" s="1146"/>
      <c r="AA26" s="1558">
        <v>1</v>
      </c>
      <c r="AB26" s="1558">
        <v>1</v>
      </c>
      <c r="AC26" s="1558">
        <v>1</v>
      </c>
    </row>
    <row r="27" spans="1:29" s="1216" customFormat="1" ht="15">
      <c r="A27" s="577"/>
      <c r="B27" s="2557" t="s">
        <v>2545</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2"/>
      <c r="Q27" s="2542" t="str">
        <f>B27</f>
        <v>基础设施水平</v>
      </c>
      <c r="R27" s="1555" t="s">
        <v>8</v>
      </c>
      <c r="S27" s="1556">
        <f>F27</f>
        <v>100</v>
      </c>
      <c r="T27" s="1555" t="s">
        <v>8</v>
      </c>
      <c r="U27" s="1556">
        <f>H27</f>
        <v>100</v>
      </c>
      <c r="V27" s="1555" t="s">
        <v>8</v>
      </c>
      <c r="W27" s="1556">
        <f>J27</f>
        <v>100</v>
      </c>
      <c r="X27" s="1557"/>
      <c r="Y27" s="3412"/>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12"/>
      <c r="Q28" s="2542"/>
      <c r="R28" s="1555"/>
      <c r="S28" s="1556"/>
      <c r="T28" s="1555"/>
      <c r="U28" s="1556"/>
      <c r="V28" s="1555"/>
      <c r="W28" s="1556"/>
      <c r="X28" s="1557"/>
      <c r="Y28" s="3412"/>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2"/>
      <c r="Q29" s="1559" t="str">
        <f t="shared" si="8"/>
        <v>临街状况</v>
      </c>
      <c r="R29" s="1560" t="s">
        <v>8</v>
      </c>
      <c r="S29" s="1561">
        <f t="shared" ref="S29:S42" si="9">F29</f>
        <v>100</v>
      </c>
      <c r="T29" s="1560" t="s">
        <v>8</v>
      </c>
      <c r="U29" s="1561">
        <f t="shared" ref="U29:U42" si="10">H29</f>
        <v>100</v>
      </c>
      <c r="V29" s="1560" t="s">
        <v>8</v>
      </c>
      <c r="W29" s="1561">
        <f t="shared" ref="W29:W42" si="11">J29</f>
        <v>100</v>
      </c>
      <c r="X29" s="1554"/>
      <c r="Y29" s="3412"/>
      <c r="Z29" s="1562" t="str">
        <f t="shared" ref="Z29:Z42" si="12">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2"/>
      <c r="Q30" s="1559" t="str">
        <f t="shared" si="8"/>
        <v>毗邻道路的类型与等级</v>
      </c>
      <c r="R30" s="1560" t="s">
        <v>8</v>
      </c>
      <c r="S30" s="1561">
        <f t="shared" si="9"/>
        <v>100</v>
      </c>
      <c r="T30" s="1560" t="s">
        <v>8</v>
      </c>
      <c r="U30" s="1561">
        <f t="shared" si="10"/>
        <v>100</v>
      </c>
      <c r="V30" s="1560" t="s">
        <v>8</v>
      </c>
      <c r="W30" s="1561">
        <f t="shared" si="11"/>
        <v>100</v>
      </c>
      <c r="X30" s="1554"/>
      <c r="Y30" s="3412"/>
      <c r="Z30" s="1562" t="str">
        <f t="shared" si="12"/>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12"/>
      <c r="Q31" s="1559"/>
      <c r="R31" s="1560"/>
      <c r="S31" s="1561"/>
      <c r="T31" s="1560"/>
      <c r="U31" s="1561"/>
      <c r="V31" s="1560"/>
      <c r="W31" s="1561"/>
      <c r="X31" s="1554"/>
      <c r="Y31" s="3412"/>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2"/>
      <c r="Q32" s="1559" t="str">
        <f t="shared" si="8"/>
        <v>土地级别</v>
      </c>
      <c r="R32" s="1560" t="s">
        <v>8</v>
      </c>
      <c r="S32" s="1561">
        <f t="shared" si="9"/>
        <v>100</v>
      </c>
      <c r="T32" s="1560" t="s">
        <v>8</v>
      </c>
      <c r="U32" s="1561">
        <f t="shared" si="10"/>
        <v>100</v>
      </c>
      <c r="V32" s="1560" t="s">
        <v>8</v>
      </c>
      <c r="W32" s="1561">
        <f t="shared" si="11"/>
        <v>100</v>
      </c>
      <c r="X32" s="1554"/>
      <c r="Y32" s="3412"/>
      <c r="Z32" s="1562" t="str">
        <f t="shared" si="12"/>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2"/>
      <c r="Q33" s="1559">
        <f t="shared" si="8"/>
        <v>111</v>
      </c>
      <c r="R33" s="1560" t="s">
        <v>8</v>
      </c>
      <c r="S33" s="1561">
        <f t="shared" si="9"/>
        <v>100</v>
      </c>
      <c r="T33" s="1560" t="s">
        <v>8</v>
      </c>
      <c r="U33" s="1561">
        <f t="shared" si="10"/>
        <v>100</v>
      </c>
      <c r="V33" s="1560" t="s">
        <v>8</v>
      </c>
      <c r="W33" s="1561">
        <f t="shared" si="11"/>
        <v>100</v>
      </c>
      <c r="X33" s="1554"/>
      <c r="Y33" s="3412"/>
      <c r="Z33" s="1562">
        <f t="shared" si="12"/>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3" t="s">
        <v>550</v>
      </c>
      <c r="Q34" s="1559">
        <f t="shared" si="8"/>
        <v>111</v>
      </c>
      <c r="R34" s="1560" t="s">
        <v>8</v>
      </c>
      <c r="S34" s="1561">
        <f t="shared" si="9"/>
        <v>100</v>
      </c>
      <c r="T34" s="1560" t="s">
        <v>8</v>
      </c>
      <c r="U34" s="1561">
        <f t="shared" si="10"/>
        <v>100</v>
      </c>
      <c r="V34" s="1560" t="s">
        <v>8</v>
      </c>
      <c r="W34" s="1561">
        <f t="shared" si="11"/>
        <v>100</v>
      </c>
      <c r="X34" s="1554"/>
      <c r="Y34" s="3414" t="s">
        <v>550</v>
      </c>
      <c r="Z34" s="1562">
        <f t="shared" si="12"/>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4"/>
      <c r="Q35" s="1559">
        <f t="shared" si="8"/>
        <v>111</v>
      </c>
      <c r="R35" s="1564" t="s">
        <v>8</v>
      </c>
      <c r="S35" s="1565">
        <f t="shared" si="9"/>
        <v>100</v>
      </c>
      <c r="T35" s="1564" t="s">
        <v>8</v>
      </c>
      <c r="U35" s="1565">
        <f t="shared" si="10"/>
        <v>100</v>
      </c>
      <c r="V35" s="1564" t="s">
        <v>8</v>
      </c>
      <c r="W35" s="1565">
        <f t="shared" si="11"/>
        <v>100</v>
      </c>
      <c r="X35" s="1566"/>
      <c r="Y35" s="3414"/>
      <c r="Z35" s="1567">
        <f t="shared" si="12"/>
        <v>111</v>
      </c>
      <c r="AA35" s="1563">
        <f t="shared" si="3"/>
        <v>1</v>
      </c>
      <c r="AB35" s="1563">
        <f t="shared" si="4"/>
        <v>1</v>
      </c>
      <c r="AC35" s="1563">
        <f t="shared" si="5"/>
        <v>1</v>
      </c>
    </row>
    <row r="36" spans="1:29" ht="15">
      <c r="A36" s="2862"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4"/>
      <c r="Q36" s="1559" t="str">
        <f>B36</f>
        <v>宗地面积</v>
      </c>
      <c r="R36" s="1560" t="s">
        <v>8</v>
      </c>
      <c r="S36" s="1561" t="e">
        <f t="shared" si="9"/>
        <v>#N/A</v>
      </c>
      <c r="T36" s="1560" t="s">
        <v>8</v>
      </c>
      <c r="U36" s="1561" t="e">
        <f t="shared" si="10"/>
        <v>#N/A</v>
      </c>
      <c r="V36" s="1560" t="s">
        <v>8</v>
      </c>
      <c r="W36" s="1561" t="e">
        <f t="shared" si="11"/>
        <v>#N/A</v>
      </c>
      <c r="X36" s="1554"/>
      <c r="Y36" s="3414"/>
      <c r="Z36" s="1562" t="str">
        <f t="shared" si="12"/>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4"/>
      <c r="Q37" s="1559" t="str">
        <f t="shared" ref="Q37:Q42" si="13">B37</f>
        <v>宗地形状</v>
      </c>
      <c r="R37" s="1560" t="s">
        <v>8</v>
      </c>
      <c r="S37" s="1561">
        <f t="shared" si="9"/>
        <v>100</v>
      </c>
      <c r="T37" s="1560" t="s">
        <v>8</v>
      </c>
      <c r="U37" s="1561">
        <f t="shared" si="10"/>
        <v>100</v>
      </c>
      <c r="V37" s="1560" t="s">
        <v>8</v>
      </c>
      <c r="W37" s="1561">
        <f t="shared" si="11"/>
        <v>100</v>
      </c>
      <c r="X37" s="1554"/>
      <c r="Y37" s="3414"/>
      <c r="Z37" s="1562" t="str">
        <f t="shared" si="12"/>
        <v>宗地形状</v>
      </c>
      <c r="AA37" s="1563">
        <f t="shared" si="3"/>
        <v>1</v>
      </c>
      <c r="AB37" s="1563">
        <f t="shared" si="4"/>
        <v>1</v>
      </c>
      <c r="AC37" s="1563">
        <f t="shared" si="5"/>
        <v>1</v>
      </c>
    </row>
    <row r="38" spans="1:29" s="1216" customFormat="1" ht="15">
      <c r="A38" s="600"/>
      <c r="B38" s="1880"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4"/>
      <c r="Q38" s="1559" t="str">
        <f t="shared" si="13"/>
        <v>宗地开发程度</v>
      </c>
      <c r="R38" s="1555" t="s">
        <v>8</v>
      </c>
      <c r="S38" s="1556">
        <f t="shared" si="9"/>
        <v>100</v>
      </c>
      <c r="T38" s="1555" t="s">
        <v>8</v>
      </c>
      <c r="U38" s="1556">
        <f t="shared" si="10"/>
        <v>100</v>
      </c>
      <c r="V38" s="1555" t="s">
        <v>8</v>
      </c>
      <c r="W38" s="1556">
        <f t="shared" si="11"/>
        <v>100</v>
      </c>
      <c r="X38" s="1557"/>
      <c r="Y38" s="3414"/>
      <c r="Z38" s="1146" t="str">
        <f t="shared" si="12"/>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4" t="s">
        <v>601</v>
      </c>
      <c r="Q39" s="1559" t="str">
        <f t="shared" si="13"/>
        <v>工程地质条件</v>
      </c>
      <c r="R39" s="1560" t="s">
        <v>8</v>
      </c>
      <c r="S39" s="1561">
        <f t="shared" si="9"/>
        <v>100</v>
      </c>
      <c r="T39" s="1560" t="s">
        <v>8</v>
      </c>
      <c r="U39" s="1561">
        <f t="shared" si="10"/>
        <v>100</v>
      </c>
      <c r="V39" s="1560" t="s">
        <v>8</v>
      </c>
      <c r="W39" s="1561">
        <f t="shared" si="11"/>
        <v>100</v>
      </c>
      <c r="X39" s="1554"/>
      <c r="Y39" s="3414" t="s">
        <v>601</v>
      </c>
      <c r="Z39" s="1562" t="str">
        <f t="shared" si="12"/>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4"/>
      <c r="Q40" s="1559">
        <f t="shared" si="13"/>
        <v>111</v>
      </c>
      <c r="R40" s="1560" t="s">
        <v>8</v>
      </c>
      <c r="S40" s="1561">
        <f t="shared" si="9"/>
        <v>100</v>
      </c>
      <c r="T40" s="1560" t="s">
        <v>8</v>
      </c>
      <c r="U40" s="1561">
        <f t="shared" si="10"/>
        <v>100</v>
      </c>
      <c r="V40" s="1560" t="s">
        <v>8</v>
      </c>
      <c r="W40" s="1561">
        <f t="shared" si="11"/>
        <v>100</v>
      </c>
      <c r="X40" s="1554"/>
      <c r="Y40" s="3414"/>
      <c r="Z40" s="1562">
        <f t="shared" si="12"/>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4"/>
      <c r="Q41" s="1559">
        <f t="shared" si="13"/>
        <v>111</v>
      </c>
      <c r="R41" s="1560" t="s">
        <v>8</v>
      </c>
      <c r="S41" s="1561">
        <f t="shared" si="9"/>
        <v>100</v>
      </c>
      <c r="T41" s="1560" t="s">
        <v>8</v>
      </c>
      <c r="U41" s="1561">
        <f t="shared" si="10"/>
        <v>100</v>
      </c>
      <c r="V41" s="1560" t="s">
        <v>8</v>
      </c>
      <c r="W41" s="1561">
        <f t="shared" si="11"/>
        <v>100</v>
      </c>
      <c r="X41" s="1554"/>
      <c r="Y41" s="3414"/>
      <c r="Z41" s="1562">
        <f t="shared" si="12"/>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4"/>
      <c r="Q42" s="1559">
        <f t="shared" si="13"/>
        <v>111</v>
      </c>
      <c r="R42" s="1564" t="s">
        <v>8</v>
      </c>
      <c r="S42" s="1565">
        <f t="shared" si="9"/>
        <v>100</v>
      </c>
      <c r="T42" s="1564" t="s">
        <v>8</v>
      </c>
      <c r="U42" s="1565">
        <f t="shared" si="10"/>
        <v>100</v>
      </c>
      <c r="V42" s="1564" t="s">
        <v>8</v>
      </c>
      <c r="W42" s="1565">
        <f t="shared" si="11"/>
        <v>100</v>
      </c>
      <c r="X42" s="1566"/>
      <c r="Y42" s="3414"/>
      <c r="Z42" s="1567">
        <f t="shared" si="12"/>
        <v>111</v>
      </c>
      <c r="AA42" s="1563">
        <f t="shared" si="3"/>
        <v>1</v>
      </c>
      <c r="AB42" s="1563">
        <f t="shared" si="4"/>
        <v>1</v>
      </c>
      <c r="AC42" s="1563">
        <f t="shared" si="5"/>
        <v>1</v>
      </c>
    </row>
    <row r="43" spans="1:29" ht="15">
      <c r="A43" s="607" t="s">
        <v>556</v>
      </c>
      <c r="B43" s="608" t="s">
        <v>2917</v>
      </c>
      <c r="C43" s="609" t="s">
        <v>1</v>
      </c>
      <c r="D43" s="610"/>
      <c r="E43" s="611"/>
      <c r="F43" s="612"/>
      <c r="G43" s="613"/>
      <c r="H43" s="614"/>
      <c r="I43" s="611"/>
      <c r="J43" s="614"/>
      <c r="K43" s="1336"/>
      <c r="L43" s="2129"/>
      <c r="M43" s="2119"/>
      <c r="N43" s="2119"/>
      <c r="O43" s="2130"/>
      <c r="P43" s="3409" t="str">
        <f>A43</f>
        <v>成交单价</v>
      </c>
      <c r="Q43" s="3409"/>
      <c r="R43" s="3423">
        <f>E43</f>
        <v>0</v>
      </c>
      <c r="S43" s="3423"/>
      <c r="T43" s="3423">
        <f>G43</f>
        <v>0</v>
      </c>
      <c r="U43" s="3423"/>
      <c r="V43" s="3423">
        <f>I43</f>
        <v>0</v>
      </c>
      <c r="W43" s="3423"/>
      <c r="X43" s="1546"/>
      <c r="Y43" s="1568"/>
      <c r="Z43" s="1546"/>
      <c r="AA43" s="1546"/>
      <c r="AB43" s="1546"/>
      <c r="AC43" s="1546"/>
    </row>
    <row r="44" spans="1:29" ht="15.75" thickBot="1">
      <c r="A44" s="615" t="s">
        <v>2687</v>
      </c>
      <c r="B44" s="616"/>
      <c r="C44" s="617" t="e">
        <f>R45</f>
        <v>#DIV/0!</v>
      </c>
      <c r="D44" s="618"/>
      <c r="E44" s="617" t="e">
        <f>R44</f>
        <v>#DIV/0!</v>
      </c>
      <c r="F44" s="619"/>
      <c r="G44" s="620" t="e">
        <f>T44</f>
        <v>#DIV/0!</v>
      </c>
      <c r="H44" s="618"/>
      <c r="I44" s="617" t="e">
        <f>V44</f>
        <v>#DIV/0!</v>
      </c>
      <c r="J44" s="618"/>
      <c r="K44" s="1337"/>
      <c r="L44" s="2129"/>
      <c r="M44" s="2119"/>
      <c r="N44" s="2119"/>
      <c r="O44" s="2130"/>
      <c r="P44" s="3409" t="str">
        <f>A44</f>
        <v>比较价格（元/平方米）</v>
      </c>
      <c r="Q44" s="3409"/>
      <c r="R44" s="3434" t="e">
        <f>ROUND(PRODUCT(R43,AA9:AA42),0)</f>
        <v>#DIV/0!</v>
      </c>
      <c r="S44" s="3434"/>
      <c r="T44" s="3434" t="e">
        <f>ROUND(PRODUCT(T43,AB9:AB42),0)</f>
        <v>#DIV/0!</v>
      </c>
      <c r="U44" s="3434"/>
      <c r="V44" s="3434" t="e">
        <f>ROUND(PRODUCT(V43,AC9:AC42),0)</f>
        <v>#DIV/0!</v>
      </c>
      <c r="W44" s="3434"/>
      <c r="X44" s="1546"/>
      <c r="Y44" s="1546"/>
      <c r="Z44" s="1546"/>
      <c r="AA44" s="1546"/>
      <c r="AB44" s="1546"/>
      <c r="AC44" s="1546"/>
    </row>
    <row r="45" spans="1:29" ht="15.75" thickBot="1">
      <c r="A45" s="621" t="s">
        <v>2918</v>
      </c>
      <c r="B45" s="622"/>
      <c r="C45" s="623" t="e">
        <f>R45</f>
        <v>#DIV/0!</v>
      </c>
      <c r="D45" s="623"/>
      <c r="E45" s="623"/>
      <c r="F45" s="623"/>
      <c r="G45" s="623"/>
      <c r="H45" s="623"/>
      <c r="I45" s="623"/>
      <c r="J45" s="623"/>
      <c r="K45" s="1338"/>
      <c r="L45" s="2129"/>
      <c r="M45" s="2119"/>
      <c r="N45" s="2119"/>
      <c r="O45" s="2130"/>
      <c r="P45" s="3431" t="str">
        <f>A45</f>
        <v>估价对象XX用房的比较价格（楼面单价，元/平方米）</v>
      </c>
      <c r="Q45" s="3432"/>
      <c r="R45" s="3433" t="e">
        <f>ROUND(AVERAGE(R44:V44),0)</f>
        <v>#DIV/0!</v>
      </c>
      <c r="S45" s="3433"/>
      <c r="T45" s="3433"/>
      <c r="U45" s="3433"/>
      <c r="V45" s="3433"/>
      <c r="W45" s="3433"/>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2289</v>
      </c>
      <c r="E52" s="631" t="s">
        <v>562</v>
      </c>
      <c r="F52" s="1936" t="s">
        <v>563</v>
      </c>
      <c r="G52" s="3435" t="s">
        <v>2280</v>
      </c>
      <c r="H52" s="3436"/>
      <c r="I52" s="1937" t="s">
        <v>1943</v>
      </c>
      <c r="J52" s="1542">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48430</v>
      </c>
      <c r="F53" s="1935" t="e">
        <f t="shared" ref="F53:F62" si="14">ROUND(B53*E53/10000,0)</f>
        <v>#DIV/0!</v>
      </c>
      <c r="G53" s="3437"/>
      <c r="H53" s="3438"/>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5">IF($C$52="北京市系数",I54,J54)</f>
        <v>0.7</v>
      </c>
      <c r="D54" s="2214">
        <v>0.25</v>
      </c>
      <c r="E54" s="639"/>
      <c r="F54" s="1935" t="e">
        <f t="shared" si="14"/>
        <v>#DIV/0!</v>
      </c>
      <c r="G54" s="3439" t="s">
        <v>2281</v>
      </c>
      <c r="H54" s="1939" t="str">
        <f>项目基本情况!B43</f>
        <v>六级</v>
      </c>
      <c r="I54" s="1938">
        <f>SUMIF(修正!$A$45:$A$56,H54,修正!B45:B56)</f>
        <v>0.7</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6">ROUND($C$45*C55*D55,0)</f>
        <v>#DIV/0!</v>
      </c>
      <c r="C55" s="378">
        <f t="shared" si="15"/>
        <v>0.4</v>
      </c>
      <c r="D55" s="2214">
        <v>0.25</v>
      </c>
      <c r="E55" s="639"/>
      <c r="F55" s="1935" t="e">
        <f t="shared" si="14"/>
        <v>#DIV/0!</v>
      </c>
      <c r="G55" s="3439"/>
      <c r="H55" s="1940" t="str">
        <f>项目基本情况!B43</f>
        <v>六级</v>
      </c>
      <c r="I55" s="1938">
        <f>SUMIF(修正!$A$45:$A$56,H55,修正!C45:C56)</f>
        <v>0.4</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6"/>
        <v>#DIV/0!</v>
      </c>
      <c r="C56" s="378">
        <f t="shared" si="15"/>
        <v>0.28000000000000003</v>
      </c>
      <c r="D56" s="2214">
        <v>0.25</v>
      </c>
      <c r="E56" s="639"/>
      <c r="F56" s="1935" t="e">
        <f t="shared" si="14"/>
        <v>#DIV/0!</v>
      </c>
      <c r="G56" s="3439"/>
      <c r="H56" s="1940" t="str">
        <f>项目基本情况!B43</f>
        <v>六级</v>
      </c>
      <c r="I56" s="1938">
        <f>SUMIF(修正!$A$45:$A$56,H56,修正!D45:D56)</f>
        <v>0.28000000000000003</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6"/>
        <v>#DIV/0!</v>
      </c>
      <c r="C57" s="378">
        <f t="shared" si="15"/>
        <v>0.25</v>
      </c>
      <c r="D57" s="2214">
        <v>0.25</v>
      </c>
      <c r="E57" s="639"/>
      <c r="F57" s="1935" t="e">
        <f t="shared" si="14"/>
        <v>#DIV/0!</v>
      </c>
      <c r="G57" s="3439"/>
      <c r="H57" s="1940" t="str">
        <f>项目基本情况!B43</f>
        <v>六级</v>
      </c>
      <c r="I57" s="1938">
        <f>SUMIF(修正!$A$45:$A$56,H57,修正!E45:E56)</f>
        <v>0.25</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2324</v>
      </c>
      <c r="B58" s="638" t="e">
        <f t="shared" si="16"/>
        <v>#DIV/0!</v>
      </c>
      <c r="C58" s="378">
        <f t="shared" si="15"/>
        <v>0.25</v>
      </c>
      <c r="D58" s="2214">
        <v>0.25</v>
      </c>
      <c r="E58" s="641">
        <f>'数据-汇总表'!E11</f>
        <v>0</v>
      </c>
      <c r="F58" s="1935" t="e">
        <f t="shared" si="14"/>
        <v>#DIV/0!</v>
      </c>
      <c r="G58" s="1941" t="s">
        <v>2282</v>
      </c>
      <c r="H58" s="1940" t="str">
        <f>项目基本情况!C43</f>
        <v>六级</v>
      </c>
      <c r="I58" s="1938">
        <f>SUMIF(修正!$A$45:$A$56,H58,修正!F45:F56)</f>
        <v>0.25</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6"/>
        <v>#DIV/0!</v>
      </c>
      <c r="C59" s="378">
        <f t="shared" si="15"/>
        <v>0.25</v>
      </c>
      <c r="D59" s="2214">
        <v>0.25</v>
      </c>
      <c r="E59" s="641">
        <f>'数据-汇总表'!E12</f>
        <v>0</v>
      </c>
      <c r="F59" s="1935" t="e">
        <f t="shared" si="14"/>
        <v>#DIV/0!</v>
      </c>
      <c r="G59" s="1931" t="s">
        <v>1677</v>
      </c>
      <c r="H59" s="1939" t="str">
        <f>IF(G59="商业",项目基本情况!B43,IF(G59="办公",项目基本情况!C43,IF(G59="住宅",项目基本情况!D43,项目基本情况!E43)))</f>
        <v>六级</v>
      </c>
      <c r="I59" s="1938">
        <f>SUMIF(修正!$A$45:$A$56,H59,修正!G45:G56)</f>
        <v>0.25</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6"/>
        <v>#DIV/0!</v>
      </c>
      <c r="C60" s="378">
        <f t="shared" si="15"/>
        <v>0.2</v>
      </c>
      <c r="D60" s="2214">
        <v>0.25</v>
      </c>
      <c r="E60" s="641">
        <f>'数据-汇总表'!E13</f>
        <v>0</v>
      </c>
      <c r="F60" s="1935" t="e">
        <f t="shared" si="14"/>
        <v>#DIV/0!</v>
      </c>
      <c r="G60" s="1931" t="s">
        <v>923</v>
      </c>
      <c r="H60" s="1939" t="str">
        <f>IF(G60="商业",项目基本情况!B43,IF(G60="办公",项目基本情况!C43,IF(G60="住宅",项目基本情况!D43,项目基本情况!E43)))</f>
        <v>六级</v>
      </c>
      <c r="I60" s="1938">
        <f>SUMIF(修正!$A$45:$A$56,H60,修正!H45:H56)</f>
        <v>0.2</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6"/>
        <v>#DIV/0!</v>
      </c>
      <c r="C61" s="378">
        <f t="shared" si="15"/>
        <v>0.2</v>
      </c>
      <c r="D61" s="2214">
        <v>0.25</v>
      </c>
      <c r="E61" s="641">
        <f>'数据-汇总表'!E14</f>
        <v>0</v>
      </c>
      <c r="F61" s="1935" t="e">
        <f t="shared" si="14"/>
        <v>#DIV/0!</v>
      </c>
      <c r="G61" s="1941" t="s">
        <v>2281</v>
      </c>
      <c r="H61" s="1940" t="str">
        <f>项目基本情况!B43</f>
        <v>六级</v>
      </c>
      <c r="I61" s="1938">
        <f>SUMIF(修正!$A$45:$A$56,H61,修正!H45:H56)</f>
        <v>0.2</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6"/>
        <v>#DIV/0!</v>
      </c>
      <c r="C62" s="378">
        <f t="shared" si="15"/>
        <v>0.2</v>
      </c>
      <c r="D62" s="2214">
        <v>0.25</v>
      </c>
      <c r="E62" s="641">
        <f>'数据-汇总表'!E15</f>
        <v>0</v>
      </c>
      <c r="F62" s="1935" t="e">
        <f t="shared" si="14"/>
        <v>#DIV/0!</v>
      </c>
      <c r="G62" s="1942" t="s">
        <v>2282</v>
      </c>
      <c r="H62" s="1943" t="str">
        <f>项目基本情况!C43</f>
        <v>六级</v>
      </c>
      <c r="I62" s="1938">
        <f>SUMIF(修正!$A$45:$A$56,H62,修正!H45:H56)</f>
        <v>0.2</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2290</v>
      </c>
      <c r="E63" s="643">
        <f>IF(B43="楼面地价",SUM(E53:E62),'数据-汇总表'!D3)</f>
        <v>21023.4</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7">EDATE(D65,-3)</f>
        <v>43709</v>
      </c>
      <c r="F65" s="2754">
        <f t="shared" si="17"/>
        <v>43617</v>
      </c>
      <c r="G65" s="2754">
        <f t="shared" si="17"/>
        <v>43525</v>
      </c>
      <c r="H65" s="2754">
        <f t="shared" si="17"/>
        <v>43435</v>
      </c>
      <c r="I65" s="2754">
        <f t="shared" si="17"/>
        <v>43344</v>
      </c>
      <c r="J65" s="2754">
        <f t="shared" si="17"/>
        <v>43252</v>
      </c>
      <c r="K65" s="2754">
        <f t="shared" si="17"/>
        <v>43160</v>
      </c>
      <c r="L65" s="2754">
        <f t="shared" si="17"/>
        <v>43070</v>
      </c>
      <c r="M65" s="2754">
        <f t="shared" si="17"/>
        <v>42979</v>
      </c>
      <c r="N65" s="2754">
        <f t="shared" si="17"/>
        <v>42887</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2529</v>
      </c>
      <c r="B67" s="646"/>
      <c r="C67" s="2750" t="str">
        <f>YEAR(C65)&amp;"-"&amp;ROUNDUP(MONTH(C65)/3,0)</f>
        <v>2020-1</v>
      </c>
      <c r="D67" s="2756" t="str">
        <f t="shared" ref="D67:N67" si="18">YEAR(D65)&amp;"-"&amp;ROUNDUP(MONTH(D65)/3,0)</f>
        <v>2019-4</v>
      </c>
      <c r="E67" s="2756" t="str">
        <f t="shared" si="18"/>
        <v>2019-3</v>
      </c>
      <c r="F67" s="2756" t="str">
        <f t="shared" si="18"/>
        <v>2019-2</v>
      </c>
      <c r="G67" s="2756" t="str">
        <f t="shared" si="18"/>
        <v>2019-1</v>
      </c>
      <c r="H67" s="2756" t="str">
        <f t="shared" si="18"/>
        <v>2018-4</v>
      </c>
      <c r="I67" s="2756" t="str">
        <f t="shared" si="18"/>
        <v>2018-3</v>
      </c>
      <c r="J67" s="2756" t="str">
        <f t="shared" si="18"/>
        <v>2018-2</v>
      </c>
      <c r="K67" s="2756" t="str">
        <f t="shared" si="18"/>
        <v>2018-1</v>
      </c>
      <c r="L67" s="2756" t="str">
        <f t="shared" si="18"/>
        <v>2017-4</v>
      </c>
      <c r="M67" s="2756" t="str">
        <f t="shared" si="18"/>
        <v>2017-3</v>
      </c>
      <c r="N67" s="2756" t="str">
        <f t="shared" si="18"/>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2643</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2544</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2546</v>
      </c>
      <c r="C95" s="2562" t="s">
        <v>2547</v>
      </c>
      <c r="D95" s="2562" t="s">
        <v>2548</v>
      </c>
      <c r="E95" s="2562" t="s">
        <v>2549</v>
      </c>
      <c r="F95" s="2562" t="s">
        <v>2550</v>
      </c>
      <c r="G95" s="2562" t="s">
        <v>2551</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1" t="str">
        <f t="shared" si="24"/>
        <v>(含)-</v>
      </c>
      <c r="L109" s="3042" t="str">
        <f t="shared" si="24"/>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2421</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2422</v>
      </c>
      <c r="D1" s="1509">
        <f>SUM(D29:D30,D33:D39)</f>
        <v>0</v>
      </c>
      <c r="E1" s="1403" t="s">
        <v>2423</v>
      </c>
      <c r="F1" s="2416"/>
      <c r="G1" s="1398"/>
      <c r="H1" s="1398"/>
      <c r="I1" s="1398"/>
      <c r="J1" s="1398"/>
      <c r="K1" s="1398"/>
      <c r="L1" s="1867" t="s">
        <v>2234</v>
      </c>
      <c r="M1" s="1868">
        <f>SUMPRODUCT((区片价!B5:B9=I2)*(区片价!C3:F3=E2)*(区片价!C5:F9))</f>
        <v>0</v>
      </c>
      <c r="N1" s="1869">
        <f>SUMPRODUCT((因素修正幅度!B5:B9=I2)*(因素修正幅度!C3:F3=E2)*(因素修正幅度!C5:F9))</f>
        <v>0</v>
      </c>
      <c r="O1" s="1398"/>
      <c r="P1" s="1398"/>
      <c r="Q1" s="2174"/>
      <c r="R1" s="2891" t="s">
        <v>2756</v>
      </c>
      <c r="S1" s="2891" t="s">
        <v>2757</v>
      </c>
      <c r="T1" s="2891" t="s">
        <v>2778</v>
      </c>
      <c r="U1" s="2891" t="s">
        <v>2779</v>
      </c>
      <c r="V1" s="2891" t="s">
        <v>2780</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2235</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0" t="s">
        <v>2236</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2276</v>
      </c>
      <c r="B4" s="2417" t="e">
        <f>ROUND(B2*10000/F1,0)</f>
        <v>#DIV/0!</v>
      </c>
      <c r="C4" s="1879" t="s">
        <v>2250</v>
      </c>
      <c r="D4" s="1879" t="e">
        <f>ROUND(B2/(F1/666.67),0)</f>
        <v>#DIV/0!</v>
      </c>
      <c r="E4" s="1879" t="s">
        <v>2251</v>
      </c>
      <c r="F4" s="1877"/>
      <c r="G4" s="1877"/>
      <c r="H4" s="1877"/>
      <c r="I4" s="1877"/>
      <c r="J4" s="1878"/>
      <c r="K4" s="3145"/>
      <c r="L4" s="1870" t="s">
        <v>2237</v>
      </c>
      <c r="M4" s="1871">
        <f>SUMPRODUCT((区片价!B49:B75=I2)*(区片价!C3:F3=E2)*(区片价!C49:F75))</f>
        <v>0</v>
      </c>
      <c r="N4" s="1872">
        <f>SUMPRODUCT((因素修正幅度!B49:B75=I2)*(因素修正幅度!C3:F3=E2)*(因素修正幅度!C49:F75))</f>
        <v>0</v>
      </c>
      <c r="O4" s="3145"/>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69" t="e">
        <f>ROUND(C6+C16,0)</f>
        <v>#DIV/0!</v>
      </c>
      <c r="E5" s="3069"/>
      <c r="F5" s="1413"/>
      <c r="G5" s="1414"/>
      <c r="H5" s="1414"/>
      <c r="I5" s="1414"/>
      <c r="J5" s="1415"/>
      <c r="K5" s="3146"/>
      <c r="L5" s="1870" t="s">
        <v>2238</v>
      </c>
      <c r="M5" s="1871">
        <f>SUMPRODUCT((区片价!B76:B109=I2)*(区片价!C3:F3=E2)*(区片价!C76:F109))</f>
        <v>0</v>
      </c>
      <c r="N5" s="1872">
        <f>SUMPRODUCT((因素修正幅度!B76:B109=I2)*(因素修正幅度!C3:F3=E2)*(因素修正幅度!C76:F109))</f>
        <v>0</v>
      </c>
      <c r="O5" s="3146"/>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2239</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51" t="str">
        <f>IF(E2="商业",IF(C8="不临58条商业街","",2),"")</f>
        <v/>
      </c>
      <c r="B7" s="1424" t="s">
        <v>932</v>
      </c>
      <c r="C7" s="1043" t="e">
        <f>IF(C8="不临58条商业街",1,ROUND(1+(1.6*E8+1.2*E9+0.8*E10+0.4*E11)*C9,4))</f>
        <v>#DIV/0!</v>
      </c>
      <c r="D7" s="1425" t="s">
        <v>933</v>
      </c>
      <c r="E7" s="1044"/>
      <c r="F7" s="1426"/>
      <c r="G7" s="1427"/>
      <c r="H7" s="1427"/>
      <c r="I7" s="1427"/>
      <c r="J7" s="1428"/>
      <c r="K7" s="1453"/>
      <c r="L7" s="1870" t="s">
        <v>2240</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2759</v>
      </c>
      <c r="X7" s="2882">
        <f>G2</f>
        <v>0</v>
      </c>
      <c r="Y7" s="2882" t="s">
        <v>2760</v>
      </c>
      <c r="Z7" s="2883">
        <f>G3</f>
        <v>0</v>
      </c>
      <c r="AA7" s="2177"/>
      <c r="AB7" s="2177"/>
      <c r="AC7" s="2178"/>
      <c r="AD7" s="2884"/>
      <c r="AE7" s="2884"/>
      <c r="AF7" s="2884"/>
      <c r="AG7" s="2884"/>
      <c r="AH7" s="2884"/>
      <c r="AI7" s="2884"/>
      <c r="AJ7" s="2885"/>
    </row>
    <row r="8" spans="1:39" ht="15">
      <c r="A8" s="3452"/>
      <c r="B8" s="1411" t="s">
        <v>934</v>
      </c>
      <c r="C8" s="1517"/>
      <c r="D8" s="1045" t="s">
        <v>935</v>
      </c>
      <c r="E8" s="1046" t="e">
        <f>ROUND(C11/E7,4)</f>
        <v>#DIV/0!</v>
      </c>
      <c r="F8" s="1429" t="s">
        <v>936</v>
      </c>
      <c r="G8" s="1430"/>
      <c r="H8" s="1430"/>
      <c r="I8" s="1430"/>
      <c r="J8" s="1431"/>
      <c r="K8" s="1453"/>
      <c r="L8" s="1870" t="s">
        <v>2241</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62" t="s">
        <v>2777</v>
      </c>
      <c r="X8" s="3463"/>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452"/>
      <c r="B9" s="1411" t="s">
        <v>937</v>
      </c>
      <c r="C9" s="1047">
        <f>SUMIF(修正!C59:C119,C8,修正!E59:E119)</f>
        <v>0</v>
      </c>
      <c r="D9" s="1048" t="s">
        <v>938</v>
      </c>
      <c r="E9" s="1048" t="e">
        <f>ROUND(C11/E7,4)</f>
        <v>#DIV/0!</v>
      </c>
      <c r="F9" s="1429" t="s">
        <v>939</v>
      </c>
      <c r="G9" s="1430"/>
      <c r="H9" s="1430"/>
      <c r="I9" s="1430"/>
      <c r="J9" s="1431"/>
      <c r="K9" s="1453"/>
      <c r="L9" s="1870" t="s">
        <v>2242</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61" t="s">
        <v>2773</v>
      </c>
      <c r="X9" s="2886" t="s">
        <v>2774</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52"/>
      <c r="B10" s="1411" t="s">
        <v>940</v>
      </c>
      <c r="C10" s="1048">
        <f>SUMIF(修正!C59:C119,C8,修正!F59:F119)</f>
        <v>0</v>
      </c>
      <c r="D10" s="1048" t="s">
        <v>941</v>
      </c>
      <c r="E10" s="1048" t="e">
        <f>ROUND(C11/E7,4)</f>
        <v>#DIV/0!</v>
      </c>
      <c r="F10" s="1429" t="s">
        <v>942</v>
      </c>
      <c r="G10" s="1430"/>
      <c r="H10" s="1430"/>
      <c r="I10" s="1430"/>
      <c r="J10" s="1431"/>
      <c r="K10" s="1453"/>
      <c r="L10" s="1870" t="s">
        <v>2243</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6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52"/>
      <c r="B11" s="1432" t="s">
        <v>943</v>
      </c>
      <c r="C11" s="1049">
        <f>C10/4</f>
        <v>0</v>
      </c>
      <c r="D11" s="1049" t="s">
        <v>944</v>
      </c>
      <c r="E11" s="1049" t="e">
        <f>ROUND(C11/E7,4)</f>
        <v>#DIV/0!</v>
      </c>
      <c r="F11" s="1433" t="s">
        <v>945</v>
      </c>
      <c r="G11" s="1434"/>
      <c r="H11" s="1434"/>
      <c r="I11" s="1434"/>
      <c r="J11" s="1435"/>
      <c r="K11" s="1453"/>
      <c r="L11" s="1870" t="s">
        <v>2244</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61" t="s">
        <v>2775</v>
      </c>
      <c r="X11" s="1048" t="s">
        <v>2760</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51" t="s">
        <v>1871</v>
      </c>
      <c r="B12" s="1436" t="s">
        <v>946</v>
      </c>
      <c r="C12" s="1043">
        <f>ROUND(C15*D15*E15*F15*G15*H15*I15*J15,4)</f>
        <v>1</v>
      </c>
      <c r="D12" s="1437" t="s">
        <v>947</v>
      </c>
      <c r="E12" s="1438"/>
      <c r="F12" s="1438"/>
      <c r="G12" s="1439"/>
      <c r="H12" s="1439"/>
      <c r="I12" s="1439"/>
      <c r="J12" s="1440"/>
      <c r="K12" s="1453"/>
      <c r="L12" s="1873" t="s">
        <v>2245</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61"/>
      <c r="X12" s="2889" t="s">
        <v>2776</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53"/>
      <c r="B13" s="1441" t="s">
        <v>1696</v>
      </c>
      <c r="C13" s="1442" t="s">
        <v>1697</v>
      </c>
      <c r="D13" s="1085" t="s">
        <v>1698</v>
      </c>
      <c r="E13" s="1085" t="s">
        <v>1699</v>
      </c>
      <c r="F13" s="1443" t="s">
        <v>948</v>
      </c>
      <c r="G13" s="1444" t="s">
        <v>1642</v>
      </c>
      <c r="H13" s="1445" t="s">
        <v>1642</v>
      </c>
      <c r="I13" s="1446" t="s">
        <v>1642</v>
      </c>
      <c r="J13" s="1447" t="s">
        <v>1642</v>
      </c>
      <c r="K13" s="3161"/>
      <c r="L13" s="3161"/>
      <c r="M13" s="3161"/>
      <c r="N13" s="3161"/>
      <c r="O13" s="3161"/>
      <c r="P13" s="1398"/>
      <c r="Q13" s="2174"/>
      <c r="R13" s="2892">
        <v>12</v>
      </c>
      <c r="S13" s="2881"/>
      <c r="T13" s="2892" t="e">
        <f t="shared" si="0"/>
        <v>#DIV/0!</v>
      </c>
      <c r="U13" s="2881"/>
      <c r="V13" s="2892" t="e">
        <f t="shared" si="1"/>
        <v>#DIV/0!</v>
      </c>
      <c r="W13" s="3461"/>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53"/>
      <c r="B14" s="1448"/>
      <c r="C14" s="1449"/>
      <c r="D14" s="1450"/>
      <c r="E14" s="1450"/>
      <c r="F14" s="1451"/>
      <c r="G14" s="1452" t="s">
        <v>949</v>
      </c>
      <c r="H14" s="1453"/>
      <c r="I14" s="1454"/>
      <c r="J14" s="1455"/>
      <c r="K14" s="3147"/>
      <c r="L14" s="3147"/>
      <c r="M14" s="3147"/>
      <c r="N14" s="3147"/>
      <c r="O14" s="3147"/>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54"/>
      <c r="B15" s="3166" t="s">
        <v>1700</v>
      </c>
      <c r="C15" s="1049">
        <f>IF(C14="有",1.1,1)</f>
        <v>1</v>
      </c>
      <c r="D15" s="1049">
        <f>IF(D14="有",1.1,1)</f>
        <v>1</v>
      </c>
      <c r="E15" s="1049">
        <f>IF(E14="有",1.1,1)</f>
        <v>1</v>
      </c>
      <c r="F15" s="1049">
        <f>IF(F14="500米范围内",1.2,IF(F14="500-1000米",1.1,1))</f>
        <v>1</v>
      </c>
      <c r="G15" s="3158">
        <v>1</v>
      </c>
      <c r="H15" s="3158">
        <v>1</v>
      </c>
      <c r="I15" s="3158">
        <v>1</v>
      </c>
      <c r="J15" s="3159">
        <v>1</v>
      </c>
      <c r="K15" s="3162"/>
      <c r="L15" s="3162"/>
      <c r="M15" s="3162"/>
      <c r="N15" s="3162"/>
      <c r="O15" s="3162"/>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51" t="s">
        <v>1838</v>
      </c>
      <c r="B16" s="1424" t="s">
        <v>950</v>
      </c>
      <c r="C16" s="1052" t="e">
        <f>ROUND(IF(F17="与级别开发程度一致",0,(G17-E17)/C17),0)</f>
        <v>#DIV/0!</v>
      </c>
      <c r="D16" s="3469" t="s">
        <v>954</v>
      </c>
      <c r="E16" s="3470"/>
      <c r="F16" s="3469" t="s">
        <v>951</v>
      </c>
      <c r="G16" s="3470"/>
      <c r="H16" s="1456"/>
      <c r="I16" s="1456"/>
      <c r="J16" s="1456"/>
      <c r="K16" s="1456"/>
      <c r="L16" s="1456"/>
      <c r="M16" s="1456"/>
      <c r="N16" s="1456"/>
      <c r="O16" s="3171"/>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55"/>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5">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67" t="s">
        <v>955</v>
      </c>
      <c r="C18" s="3168">
        <f>SUMIF(修正!C18:C39,E3,修正!E18:E39)</f>
        <v>0</v>
      </c>
      <c r="D18" s="3169"/>
      <c r="E18" s="3170"/>
      <c r="F18" s="3152"/>
      <c r="G18" s="3146"/>
      <c r="H18" s="3146"/>
      <c r="I18" s="3146"/>
      <c r="J18" s="3160"/>
      <c r="K18" s="3146"/>
      <c r="L18" s="3146"/>
      <c r="M18" s="3146"/>
      <c r="N18" s="3146"/>
      <c r="O18" s="3146"/>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43910</v>
      </c>
      <c r="H19" s="1464" t="s">
        <v>2973</v>
      </c>
      <c r="I19" s="2740" t="str">
        <f>IF(H19="季度增幅（自定义）",SUMIF(N21:N24,E2,O21:O24),"")</f>
        <v/>
      </c>
      <c r="J19" s="1460"/>
      <c r="K19" s="3146"/>
      <c r="L19" s="2992" t="s">
        <v>2835</v>
      </c>
      <c r="M19" s="2993">
        <f>ROUND(SUMIF(地价!B2:F2,E2,地价!B29:F29),0)</f>
        <v>0</v>
      </c>
      <c r="N19" s="2742" t="s">
        <v>1676</v>
      </c>
      <c r="O19" s="2741">
        <f>ROUNDDOWN(DATEDIF(E19,G19,"M")/3,0)</f>
        <v>24</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4">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48"/>
      <c r="L20" s="2994" t="s">
        <v>2836</v>
      </c>
      <c r="M20" s="3155">
        <f>ROUND(SUMPRODUCT((地价!A4:A29=YEAR(G19)&amp;"-"&amp;ROUNDUP(MONTH(G19)/3,0))*(地价!B2:F2=E2)*(地价!B4:F29)),0)</f>
        <v>0</v>
      </c>
      <c r="N20" s="2745" t="s">
        <v>2640</v>
      </c>
      <c r="O20" s="2743" t="s">
        <v>2639</v>
      </c>
      <c r="P20" s="2744" t="s">
        <v>2644</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2755</v>
      </c>
      <c r="C21" s="1154">
        <f>IF(B21="容积率修正",IF(G3&lt;=10,D22,J22),C23)</f>
        <v>0</v>
      </c>
      <c r="D21" s="1470"/>
      <c r="E21" s="1470"/>
      <c r="F21" s="1470"/>
      <c r="G21" s="1470"/>
      <c r="H21" s="1470"/>
      <c r="I21" s="1470"/>
      <c r="J21" s="1471"/>
      <c r="K21" s="3146"/>
      <c r="L21" s="1470"/>
      <c r="M21" s="1470"/>
      <c r="N21" s="1467" t="s">
        <v>975</v>
      </c>
      <c r="O21" s="1530"/>
      <c r="P21" s="2732">
        <f>SUMPRODUCT((地价!A3:A29=YEAR(G19)&amp;"-"&amp;ROUNDUP(MONTH(G19)/3,0))*(地价!AD2:AH2=N21)*(地价!AD3:AH29))</f>
        <v>1.35E-2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9"/>
      <c r="L22" s="1470"/>
      <c r="M22" s="1470"/>
      <c r="N22" s="1467" t="s">
        <v>978</v>
      </c>
      <c r="O22" s="1530"/>
      <c r="P22" s="2732">
        <f>SUMPRODUCT((地价!A3:A29=YEAR(G19)&amp;"-"&amp;ROUNDUP(MONTH(G19)/3,0))*(地价!AD2:AH2=N22)*(地价!AD3:AH29))</f>
        <v>1.35E-2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0"/>
      <c r="L23" s="1398"/>
      <c r="M23" s="1398"/>
      <c r="N23" s="1467" t="s">
        <v>923</v>
      </c>
      <c r="O23" s="1530"/>
      <c r="P23" s="2732">
        <f>SUMPRODUCT((地价!A3:A29=YEAR(G19)&amp;"-"&amp;ROUNDUP(MONTH(G19)/3,0))*(地价!AD2:AH2=N23)*(地价!AD3:AH29))</f>
        <v>2.0799999999999999E-2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0"/>
      <c r="L24" s="1470"/>
      <c r="M24" s="1470"/>
      <c r="N24" s="1467" t="s">
        <v>981</v>
      </c>
      <c r="O24" s="3154"/>
      <c r="P24" s="2732">
        <f>SUMPRODUCT((地价!A3:A29=YEAR(G19)&amp;"-"&amp;ROUNDUP(MONTH(G19)/3,0))*(地价!AD2:AH2=N24)*(地价!AD3:AH29))</f>
        <v>1.3299999999999999E-2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56" t="s">
        <v>2642</v>
      </c>
      <c r="O25" s="3157"/>
      <c r="P25" s="2411">
        <f>SUMPRODUCT((地价!A3:A29=YEAR(G19)&amp;"-"&amp;ROUNDUP(MONTH(G19)/3,0))*(地价!AD2:AH2=N25)*(地价!AD3:AH29))</f>
        <v>1.9E-2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1"/>
      <c r="L29" s="3151"/>
      <c r="M29" s="3151"/>
      <c r="N29" s="3151"/>
      <c r="O29" s="3151"/>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2"/>
      <c r="L32" s="3152"/>
      <c r="M32" s="3152"/>
      <c r="N32" s="3152"/>
      <c r="O32" s="3152"/>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58" t="s">
        <v>2943</v>
      </c>
      <c r="B33" s="1512" t="s">
        <v>999</v>
      </c>
      <c r="C33" s="1059" t="e">
        <f>ROUND(D5*C19*C20*C24*F33,0)</f>
        <v>#DIV/0!</v>
      </c>
      <c r="D33" s="1525"/>
      <c r="E33" s="1048" t="e">
        <f>ROUND(C33*D33/10000,0)</f>
        <v>#DIV/0!</v>
      </c>
      <c r="F33" s="1048">
        <f>SUMIF(修正!A45:A56,G2,修正!B45:B56)</f>
        <v>0</v>
      </c>
      <c r="G33" s="1048" t="e">
        <f>ROUND(IF(E2="工业",C33*$M$39,C33*$M$38),0)</f>
        <v>#DIV/0!</v>
      </c>
      <c r="H33" s="1048">
        <f>D33</f>
        <v>0</v>
      </c>
      <c r="I33" s="1048" t="e">
        <f>ROUND(G33*H33/10000,0)</f>
        <v>#DIV/0!</v>
      </c>
      <c r="J33" s="1513"/>
      <c r="K33" s="3153"/>
      <c r="L33" s="3153"/>
      <c r="M33" s="3153"/>
      <c r="N33" s="3153"/>
      <c r="O33" s="3153"/>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59"/>
      <c r="B34" s="1442" t="s">
        <v>1000</v>
      </c>
      <c r="C34" s="1059" t="e">
        <f>ROUND(D5*C19*C20*C24*F34,0)</f>
        <v>#DIV/0!</v>
      </c>
      <c r="D34" s="1525"/>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13"/>
      <c r="K34" s="3153"/>
      <c r="L34" s="3153"/>
      <c r="M34" s="3153"/>
      <c r="N34" s="3153"/>
      <c r="O34" s="3153"/>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59"/>
      <c r="B35" s="1442" t="s">
        <v>1001</v>
      </c>
      <c r="C35" s="1059" t="e">
        <f>ROUND(D5*C19*C20*C24*F35,0)</f>
        <v>#DIV/0!</v>
      </c>
      <c r="D35" s="1525"/>
      <c r="E35" s="1048" t="e">
        <f t="shared" si="6"/>
        <v>#DIV/0!</v>
      </c>
      <c r="F35" s="1048">
        <f>SUMIF(修正!A45:A56,G2,修正!D45:D56)</f>
        <v>0</v>
      </c>
      <c r="G35" s="1048" t="e">
        <f>ROUND(IF(E2="工业",C35*$M$39,C35*$M$38),0)</f>
        <v>#DIV/0!</v>
      </c>
      <c r="H35" s="1048">
        <f t="shared" si="7"/>
        <v>0</v>
      </c>
      <c r="I35" s="1048" t="e">
        <f t="shared" si="8"/>
        <v>#DIV/0!</v>
      </c>
      <c r="J35" s="1513"/>
      <c r="K35" s="3153"/>
      <c r="L35" s="3153"/>
      <c r="M35" s="3153"/>
      <c r="N35" s="3153"/>
      <c r="O35" s="3153"/>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60"/>
      <c r="B36" s="1442" t="s">
        <v>1002</v>
      </c>
      <c r="C36" s="1059" t="e">
        <f>ROUND(D5*C19*C20*C24*F36,0)</f>
        <v>#DIV/0!</v>
      </c>
      <c r="D36" s="1525"/>
      <c r="E36" s="1048" t="e">
        <f t="shared" si="6"/>
        <v>#DIV/0!</v>
      </c>
      <c r="F36" s="1048">
        <f>SUMIF(修正!A45:A56,G2,修正!E45:E56)</f>
        <v>0</v>
      </c>
      <c r="G36" s="1048" t="e">
        <f>ROUND(IF(E2="工业",C36*$M$39,C36*$M$38),0)</f>
        <v>#DIV/0!</v>
      </c>
      <c r="H36" s="1048">
        <f t="shared" si="7"/>
        <v>0</v>
      </c>
      <c r="I36" s="1048" t="e">
        <f t="shared" si="8"/>
        <v>#DIV/0!</v>
      </c>
      <c r="J36" s="1513"/>
      <c r="K36" s="3153"/>
      <c r="L36" s="3153"/>
      <c r="M36" s="3153"/>
      <c r="N36" s="3153"/>
      <c r="O36" s="3153"/>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6"/>
        <v>#DIV/0!</v>
      </c>
      <c r="F37" s="1059">
        <f>SUMIF(修正!A45:A56,G2,修正!F45:F56)</f>
        <v>0</v>
      </c>
      <c r="G37" s="1048" t="e">
        <f>ROUND(IF(E2="工业",C37*$M$39,C37*$M$38),0)</f>
        <v>#DIV/0!</v>
      </c>
      <c r="H37" s="1048">
        <f t="shared" si="7"/>
        <v>0</v>
      </c>
      <c r="I37" s="1048" t="e">
        <f t="shared" si="8"/>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6"/>
        <v>#DIV/0!</v>
      </c>
      <c r="F38" s="1059">
        <f>SUMIF(修正!A45:A56,G2,修正!G45:G56)</f>
        <v>0</v>
      </c>
      <c r="G38" s="1048" t="e">
        <f>ROUND(IF(E2="工业",C38*$M$39,C38*$M$38),0)</f>
        <v>#DIV/0!</v>
      </c>
      <c r="H38" s="1048">
        <f t="shared" si="7"/>
        <v>0</v>
      </c>
      <c r="I38" s="1048" t="e">
        <f t="shared" si="8"/>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6"/>
        <v>#DIV/0!</v>
      </c>
      <c r="F39" s="1061">
        <f>SUMIF(修正!A45:A56,G2,修正!H45:H56)</f>
        <v>0</v>
      </c>
      <c r="G39" s="1051" t="e">
        <f>ROUND(IF(E2="工业",C39*$M$39,C39*$M$38),0)</f>
        <v>#DIV/0!</v>
      </c>
      <c r="H39" s="1051">
        <f t="shared" si="7"/>
        <v>0</v>
      </c>
      <c r="I39" s="1051" t="e">
        <f t="shared" si="8"/>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4" t="s">
        <v>2967</v>
      </c>
      <c r="C41" s="839" t="e">
        <f>ROUND(POWER(1+E41,H41-G41)*(POWER(1+E41,G41)-1)/(POWER(1+E41,H41)-1),4)</f>
        <v>#DIV/0!</v>
      </c>
      <c r="D41" s="378" t="s">
        <v>2965</v>
      </c>
      <c r="E41" s="3143">
        <f>G20</f>
        <v>0</v>
      </c>
      <c r="F41" s="378" t="s">
        <v>2966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2246</v>
      </c>
      <c r="G46" s="2395" t="s">
        <v>1014</v>
      </c>
      <c r="H46" s="2378" t="s">
        <v>2414</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1020</v>
      </c>
      <c r="B47" s="2375" t="str">
        <f>估价对象房地状况!C16</f>
        <v>较好</v>
      </c>
      <c r="C47" s="1050"/>
      <c r="D47" s="2381">
        <f t="shared" ref="D47:D55" si="9">SUMIF($J$46:$N$46,C47,J47:N47)</f>
        <v>0</v>
      </c>
      <c r="E47" s="2400">
        <f>ROUND(SUM(D47:D55),4)</f>
        <v>0</v>
      </c>
      <c r="F47" s="2401" t="str">
        <f>IF(E2="商业",SUMIF(L1:L12,G2,N1:N12),"——")</f>
        <v>——</v>
      </c>
      <c r="G47" s="2379"/>
      <c r="H47" s="2425" t="str">
        <f t="shared" ref="H47:H55" si="10">IFERROR(ROUNDDOWN(($F$47*I47/2),4),"——")</f>
        <v>——</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1021</v>
      </c>
      <c r="B48" s="2372" t="str">
        <f>估价对象房地状况!C18</f>
        <v>好</v>
      </c>
      <c r="C48" s="1050"/>
      <c r="D48" s="2381">
        <f t="shared" si="9"/>
        <v>0</v>
      </c>
      <c r="E48" s="2403"/>
      <c r="F48" s="2401"/>
      <c r="G48" s="2379"/>
      <c r="H48" s="2425" t="str">
        <f t="shared" si="10"/>
        <v>——</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t="str">
        <f>估价对象房地状况!C19</f>
        <v>较好</v>
      </c>
      <c r="C49" s="1050"/>
      <c r="D49" s="2381">
        <f t="shared" si="9"/>
        <v>0</v>
      </c>
      <c r="E49" s="2403"/>
      <c r="F49" s="2401"/>
      <c r="G49" s="2379"/>
      <c r="H49" s="2425" t="str">
        <f t="shared" si="10"/>
        <v>——</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6" t="s">
        <v>2920</v>
      </c>
      <c r="C50" s="1050"/>
      <c r="D50" s="2381">
        <f t="shared" si="9"/>
        <v>0</v>
      </c>
      <c r="E50" s="2403"/>
      <c r="F50" s="2401"/>
      <c r="G50" s="2379"/>
      <c r="H50" s="2425" t="str">
        <f t="shared" si="10"/>
        <v>——</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t="str">
        <f>估价对象房地状况!C24</f>
        <v>次干道</v>
      </c>
      <c r="C51" s="1050"/>
      <c r="D51" s="2381">
        <f t="shared" si="9"/>
        <v>0</v>
      </c>
      <c r="E51" s="2403"/>
      <c r="F51" s="2401"/>
      <c r="G51" s="2379"/>
      <c r="H51" s="2425" t="str">
        <f t="shared" si="10"/>
        <v>——</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5" t="s">
        <v>2919</v>
      </c>
      <c r="C52" s="1050"/>
      <c r="D52" s="2381">
        <f t="shared" si="9"/>
        <v>0</v>
      </c>
      <c r="E52" s="2403"/>
      <c r="F52" s="2401"/>
      <c r="G52" s="2379"/>
      <c r="H52" s="2425" t="str">
        <f t="shared" si="10"/>
        <v>——</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较好</v>
      </c>
      <c r="C53" s="1050"/>
      <c r="D53" s="2381">
        <f t="shared" si="9"/>
        <v>0</v>
      </c>
      <c r="E53" s="2403"/>
      <c r="F53" s="2401"/>
      <c r="G53" s="2379"/>
      <c r="H53" s="2425" t="str">
        <f t="shared" si="10"/>
        <v>——</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七通</v>
      </c>
      <c r="C54" s="1050"/>
      <c r="D54" s="2381">
        <f t="shared" si="9"/>
        <v>0</v>
      </c>
      <c r="E54" s="2403"/>
      <c r="F54" s="2401"/>
      <c r="G54" s="2379"/>
      <c r="H54" s="2425" t="str">
        <f t="shared" si="10"/>
        <v>——</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1028</v>
      </c>
      <c r="B55" s="2376" t="str">
        <f>估价对象房地状况!C20</f>
        <v>一般</v>
      </c>
      <c r="C55" s="1050"/>
      <c r="D55" s="2381">
        <f t="shared" si="9"/>
        <v>0</v>
      </c>
      <c r="E55" s="2407"/>
      <c r="F55" s="2401"/>
      <c r="G55" s="2379"/>
      <c r="H55" s="2425" t="str">
        <f t="shared" si="10"/>
        <v>——</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2247</v>
      </c>
      <c r="G57" s="2395" t="s">
        <v>1014</v>
      </c>
      <c r="H57" s="2378" t="s">
        <v>2414</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t="str">
        <f>估价对象房地状况!C17</f>
        <v>一般</v>
      </c>
      <c r="C58" s="1050"/>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1021</v>
      </c>
      <c r="B59" s="2372" t="str">
        <f>估价对象房地状况!C18</f>
        <v>好</v>
      </c>
      <c r="C59" s="1050"/>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t="str">
        <f>估价对象房地状况!C19</f>
        <v>较好</v>
      </c>
      <c r="C60" s="1050"/>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6" t="s">
        <v>2921</v>
      </c>
      <c r="C61" s="1050"/>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t="str">
        <f>估价对象房地状况!C24</f>
        <v>次干道</v>
      </c>
      <c r="C62" s="1050"/>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5" t="s">
        <v>2919</v>
      </c>
      <c r="C63" s="1050"/>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较好</v>
      </c>
      <c r="C64" s="1050"/>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七通</v>
      </c>
      <c r="C65" s="1050"/>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1028</v>
      </c>
      <c r="B66" s="2377" t="str">
        <f>估价对象房地状况!C20</f>
        <v>一般</v>
      </c>
      <c r="C66" s="1050"/>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2248</v>
      </c>
      <c r="G68" s="2395" t="s">
        <v>1014</v>
      </c>
      <c r="H68" s="2378" t="s">
        <v>2414</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1032</v>
      </c>
      <c r="B69" s="2375" t="str">
        <f>估价对象房地状况!C15</f>
        <v>较好</v>
      </c>
      <c r="C69" s="1155"/>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1033</v>
      </c>
      <c r="B70" s="2372" t="str">
        <f>估价对象房地状况!C18</f>
        <v>好</v>
      </c>
      <c r="C70" s="1155"/>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t="str">
        <f>估价对象房地状况!C19</f>
        <v>较好</v>
      </c>
      <c r="C71" s="1155"/>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t="str">
        <f>估价对象房地状况!C24</f>
        <v>次干道</v>
      </c>
      <c r="C72" s="1155"/>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较好</v>
      </c>
      <c r="C73" s="1155"/>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七通</v>
      </c>
      <c r="C74" s="1155"/>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5" t="s">
        <v>2919</v>
      </c>
      <c r="C75" s="1155"/>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1028</v>
      </c>
      <c r="B76" s="2375" t="str">
        <f>估价对象房地状况!C20</f>
        <v>一般</v>
      </c>
      <c r="C76" s="1155"/>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2249</v>
      </c>
      <c r="G79" s="2395" t="s">
        <v>1014</v>
      </c>
      <c r="H79" s="2378" t="s">
        <v>2414</v>
      </c>
      <c r="I79" s="2395" t="s">
        <v>1012</v>
      </c>
      <c r="J79" s="2398" t="s">
        <v>1015</v>
      </c>
      <c r="K79" s="2398" t="s">
        <v>1016</v>
      </c>
      <c r="L79" s="2398" t="s">
        <v>1017</v>
      </c>
      <c r="M79" s="2398" t="s">
        <v>1018</v>
      </c>
      <c r="N79" s="2398" t="s">
        <v>1019</v>
      </c>
      <c r="AC79" s="1402"/>
      <c r="AD79" s="1401"/>
      <c r="AJ79" s="1400"/>
      <c r="AN79" s="1401"/>
    </row>
    <row r="80" spans="1:40" ht="24">
      <c r="A80" s="1063" t="s">
        <v>1037</v>
      </c>
      <c r="B80" s="2372">
        <f>估价对象房地状况!G15</f>
        <v>0</v>
      </c>
      <c r="C80" s="1050"/>
      <c r="D80" s="2381">
        <f t="shared" ref="D80:D87" si="24">SUMIF($J$79:$N$79,C80,J80:N80)</f>
        <v>0</v>
      </c>
      <c r="E80" s="2400">
        <f>ROUND(SUM(D80:D87),4)</f>
        <v>0</v>
      </c>
      <c r="F80" s="2401" t="str">
        <f>IF(E2="工业",SUMIF(L1:L12,G2,N1:N12),"——")</f>
        <v>——</v>
      </c>
      <c r="G80" s="2379"/>
      <c r="H80" s="2425" t="str">
        <f t="shared" ref="H80:H87" si="25">IFERROR(ROUNDDOWN($F$80*I80/2,4),"——")</f>
        <v>——</v>
      </c>
      <c r="I80" s="2399">
        <v>0.26</v>
      </c>
      <c r="J80" s="2402">
        <f t="shared" ref="J80:J87" si="26">K80+$G80</f>
        <v>0</v>
      </c>
      <c r="K80" s="2402">
        <f t="shared" ref="K80:K87" si="27">$L80+$G80</f>
        <v>0</v>
      </c>
      <c r="L80" s="2402">
        <v>0</v>
      </c>
      <c r="M80" s="2402">
        <f t="shared" ref="M80:N87" si="28">L80-$G80</f>
        <v>0</v>
      </c>
      <c r="N80" s="2402">
        <f t="shared" si="28"/>
        <v>0</v>
      </c>
      <c r="AC80" s="1402"/>
      <c r="AD80" s="1401"/>
      <c r="AJ80" s="1400"/>
      <c r="AN80" s="1401"/>
    </row>
    <row r="81" spans="1:40" ht="14.25">
      <c r="A81" s="1063" t="s">
        <v>1033</v>
      </c>
      <c r="B81" s="2372">
        <f>估价对象房地状况!G16</f>
        <v>0</v>
      </c>
      <c r="C81" s="1050"/>
      <c r="D81" s="2381">
        <f t="shared" si="24"/>
        <v>0</v>
      </c>
      <c r="E81" s="2409"/>
      <c r="F81" s="2410"/>
      <c r="G81" s="2379"/>
      <c r="H81" s="2425" t="str">
        <f t="shared" si="25"/>
        <v>——</v>
      </c>
      <c r="I81" s="2399">
        <v>0.33</v>
      </c>
      <c r="J81" s="2402">
        <f t="shared" si="26"/>
        <v>0</v>
      </c>
      <c r="K81" s="2402">
        <f t="shared" si="27"/>
        <v>0</v>
      </c>
      <c r="L81" s="2402">
        <v>0</v>
      </c>
      <c r="M81" s="2402">
        <f t="shared" si="28"/>
        <v>0</v>
      </c>
      <c r="N81" s="2402">
        <f t="shared" si="28"/>
        <v>0</v>
      </c>
      <c r="AC81" s="1402"/>
      <c r="AD81" s="1401"/>
      <c r="AJ81" s="1400"/>
      <c r="AN81" s="1401"/>
    </row>
    <row r="82" spans="1:40" ht="24">
      <c r="A82" s="1063" t="s">
        <v>1022</v>
      </c>
      <c r="B82" s="2372">
        <f>估价对象房地状况!G17</f>
        <v>0</v>
      </c>
      <c r="C82" s="1050"/>
      <c r="D82" s="2381">
        <f t="shared" si="24"/>
        <v>0</v>
      </c>
      <c r="E82" s="2409"/>
      <c r="F82" s="2410"/>
      <c r="G82" s="2379"/>
      <c r="H82" s="2425" t="str">
        <f t="shared" si="25"/>
        <v>——</v>
      </c>
      <c r="I82" s="2399">
        <v>0.05</v>
      </c>
      <c r="J82" s="2402">
        <f t="shared" si="26"/>
        <v>0</v>
      </c>
      <c r="K82" s="2402">
        <f t="shared" si="27"/>
        <v>0</v>
      </c>
      <c r="L82" s="2402">
        <v>0</v>
      </c>
      <c r="M82" s="2402">
        <f t="shared" si="28"/>
        <v>0</v>
      </c>
      <c r="N82" s="2402">
        <f t="shared" si="28"/>
        <v>0</v>
      </c>
      <c r="AC82" s="1402"/>
      <c r="AD82" s="1401"/>
      <c r="AJ82" s="1400"/>
      <c r="AN82" s="1401"/>
    </row>
    <row r="83" spans="1:40" ht="14.25">
      <c r="A83" s="1063" t="s">
        <v>1034</v>
      </c>
      <c r="B83" s="2372">
        <f>估价对象房地状况!G22</f>
        <v>0</v>
      </c>
      <c r="C83" s="1050"/>
      <c r="D83" s="2381">
        <f t="shared" si="24"/>
        <v>0</v>
      </c>
      <c r="E83" s="2409"/>
      <c r="F83" s="2410"/>
      <c r="G83" s="2379"/>
      <c r="H83" s="2425" t="str">
        <f t="shared" si="25"/>
        <v>——</v>
      </c>
      <c r="I83" s="2399">
        <v>0.04</v>
      </c>
      <c r="J83" s="2402">
        <f t="shared" si="26"/>
        <v>0</v>
      </c>
      <c r="K83" s="2402">
        <f t="shared" si="27"/>
        <v>0</v>
      </c>
      <c r="L83" s="2402">
        <v>0</v>
      </c>
      <c r="M83" s="2402">
        <f t="shared" si="28"/>
        <v>0</v>
      </c>
      <c r="N83" s="2402">
        <f t="shared" si="28"/>
        <v>0</v>
      </c>
      <c r="AC83" s="1402"/>
      <c r="AD83" s="1401"/>
      <c r="AJ83" s="1400"/>
      <c r="AN83" s="1401"/>
    </row>
    <row r="84" spans="1:40" ht="24">
      <c r="A84" s="1063" t="s">
        <v>1026</v>
      </c>
      <c r="B84" s="2373">
        <f>估价对象房地状况!G19</f>
        <v>0</v>
      </c>
      <c r="C84" s="1050"/>
      <c r="D84" s="2381">
        <f t="shared" si="24"/>
        <v>0</v>
      </c>
      <c r="E84" s="2409"/>
      <c r="F84" s="2410"/>
      <c r="G84" s="2379"/>
      <c r="H84" s="2425" t="str">
        <f t="shared" si="25"/>
        <v>——</v>
      </c>
      <c r="I84" s="2399">
        <v>0.06</v>
      </c>
      <c r="J84" s="2402">
        <f t="shared" si="26"/>
        <v>0</v>
      </c>
      <c r="K84" s="2402">
        <f t="shared" si="27"/>
        <v>0</v>
      </c>
      <c r="L84" s="2402">
        <v>0</v>
      </c>
      <c r="M84" s="2402">
        <f t="shared" si="28"/>
        <v>0</v>
      </c>
      <c r="N84" s="2402">
        <f t="shared" si="28"/>
        <v>0</v>
      </c>
      <c r="AC84" s="1402"/>
      <c r="AD84" s="1401"/>
      <c r="AJ84" s="1400"/>
      <c r="AN84" s="1401"/>
    </row>
    <row r="85" spans="1:40" ht="24">
      <c r="A85" s="1063" t="s">
        <v>1027</v>
      </c>
      <c r="B85" s="2373">
        <f>估价对象房地状况!G20</f>
        <v>0</v>
      </c>
      <c r="C85" s="1050"/>
      <c r="D85" s="2381">
        <f t="shared" si="24"/>
        <v>0</v>
      </c>
      <c r="E85" s="2409"/>
      <c r="F85" s="2410"/>
      <c r="G85" s="2379"/>
      <c r="H85" s="2425" t="str">
        <f t="shared" si="25"/>
        <v>——</v>
      </c>
      <c r="I85" s="2399">
        <v>0.15</v>
      </c>
      <c r="J85" s="2402">
        <f t="shared" si="26"/>
        <v>0</v>
      </c>
      <c r="K85" s="2402">
        <f t="shared" si="27"/>
        <v>0</v>
      </c>
      <c r="L85" s="2402">
        <v>0</v>
      </c>
      <c r="M85" s="2402">
        <f t="shared" si="28"/>
        <v>0</v>
      </c>
      <c r="N85" s="2402">
        <f t="shared" si="28"/>
        <v>0</v>
      </c>
      <c r="AC85" s="1402"/>
      <c r="AD85" s="1401"/>
      <c r="AJ85" s="1400"/>
      <c r="AN85" s="1401"/>
    </row>
    <row r="86" spans="1:40" ht="24">
      <c r="A86" s="1063" t="s">
        <v>1025</v>
      </c>
      <c r="B86" s="3045" t="s">
        <v>2919</v>
      </c>
      <c r="C86" s="1050"/>
      <c r="D86" s="2381">
        <f t="shared" si="24"/>
        <v>0</v>
      </c>
      <c r="E86" s="2409"/>
      <c r="F86" s="2410"/>
      <c r="G86" s="2379"/>
      <c r="H86" s="2425" t="str">
        <f t="shared" si="25"/>
        <v>——</v>
      </c>
      <c r="I86" s="2399">
        <v>0.05</v>
      </c>
      <c r="J86" s="2402">
        <f t="shared" si="26"/>
        <v>0</v>
      </c>
      <c r="K86" s="2402">
        <f t="shared" si="27"/>
        <v>0</v>
      </c>
      <c r="L86" s="2402">
        <v>0</v>
      </c>
      <c r="M86" s="2402">
        <f t="shared" si="28"/>
        <v>0</v>
      </c>
      <c r="N86" s="2402">
        <f t="shared" si="28"/>
        <v>0</v>
      </c>
      <c r="AC86" s="1402"/>
      <c r="AD86" s="1401"/>
      <c r="AJ86" s="1400"/>
      <c r="AN86" s="1401"/>
    </row>
    <row r="87" spans="1:40" ht="15" thickBot="1">
      <c r="A87" s="2405" t="s">
        <v>1038</v>
      </c>
      <c r="B87" s="2374">
        <f>估价对象房地状况!G18</f>
        <v>0</v>
      </c>
      <c r="C87" s="1050"/>
      <c r="D87" s="2381">
        <f t="shared" si="24"/>
        <v>0</v>
      </c>
      <c r="E87" s="2411"/>
      <c r="F87" s="2410"/>
      <c r="G87" s="2379"/>
      <c r="H87" s="2425" t="str">
        <f t="shared" si="25"/>
        <v>——</v>
      </c>
      <c r="I87" s="2406">
        <v>0.06</v>
      </c>
      <c r="J87" s="2402">
        <f t="shared" si="26"/>
        <v>0</v>
      </c>
      <c r="K87" s="2402">
        <f t="shared" si="27"/>
        <v>0</v>
      </c>
      <c r="L87" s="2402">
        <v>0</v>
      </c>
      <c r="M87" s="2402">
        <f t="shared" si="28"/>
        <v>0</v>
      </c>
      <c r="N87" s="2402">
        <f t="shared" si="28"/>
        <v>0</v>
      </c>
      <c r="AC87" s="1402"/>
      <c r="AD87" s="1401"/>
      <c r="AJ87" s="1400"/>
      <c r="AN87" s="1401"/>
    </row>
    <row r="90" spans="1:40">
      <c r="A90" s="3456" t="s">
        <v>1633</v>
      </c>
      <c r="B90" s="3456"/>
      <c r="C90" s="3456"/>
      <c r="D90" s="3456"/>
      <c r="E90" s="3456"/>
      <c r="F90" s="3456"/>
      <c r="G90" s="3456"/>
      <c r="H90" s="3456"/>
      <c r="I90" s="3456"/>
      <c r="J90" s="3456"/>
      <c r="K90" s="2414"/>
      <c r="L90" s="2414"/>
      <c r="M90" s="2414"/>
      <c r="N90" s="2414"/>
    </row>
    <row r="91" spans="1:40">
      <c r="A91" s="3457" t="s">
        <v>1443</v>
      </c>
      <c r="B91" s="3457" t="s">
        <v>1634</v>
      </c>
      <c r="C91" s="1136" t="s">
        <v>1635</v>
      </c>
      <c r="D91" s="1137"/>
      <c r="E91" s="1137"/>
      <c r="F91" s="1137"/>
      <c r="G91" s="1137"/>
      <c r="H91" s="1137"/>
      <c r="I91" s="1137"/>
      <c r="J91" s="1138"/>
      <c r="K91" s="1130"/>
      <c r="L91" s="1130"/>
      <c r="M91" s="1130"/>
      <c r="N91" s="1130"/>
    </row>
    <row r="92" spans="1:40">
      <c r="A92" s="3457"/>
      <c r="B92" s="3457"/>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64" t="s">
        <v>2758</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5"/>
      <c r="B99" s="1139" t="s">
        <v>1636</v>
      </c>
      <c r="C99" s="1141">
        <f>$I$3</f>
        <v>8</v>
      </c>
      <c r="D99" s="1141">
        <f t="shared" ref="D99:N99" si="29">$I$3</f>
        <v>8</v>
      </c>
      <c r="E99" s="1141">
        <f t="shared" si="29"/>
        <v>8</v>
      </c>
      <c r="F99" s="1141">
        <f t="shared" si="29"/>
        <v>8</v>
      </c>
      <c r="G99" s="1141">
        <f t="shared" si="29"/>
        <v>8</v>
      </c>
      <c r="H99" s="1141">
        <f t="shared" si="29"/>
        <v>8</v>
      </c>
      <c r="I99" s="1141">
        <f t="shared" si="29"/>
        <v>8</v>
      </c>
      <c r="J99" s="1141">
        <f t="shared" si="29"/>
        <v>8</v>
      </c>
      <c r="K99" s="1141">
        <f t="shared" si="29"/>
        <v>8</v>
      </c>
      <c r="L99" s="1141">
        <f t="shared" si="29"/>
        <v>8</v>
      </c>
      <c r="M99" s="1141">
        <f t="shared" si="29"/>
        <v>8</v>
      </c>
      <c r="N99" s="1141">
        <f t="shared" si="29"/>
        <v>8</v>
      </c>
    </row>
    <row r="100" spans="1:14">
      <c r="A100" s="346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4" t="s">
        <v>1637</v>
      </c>
      <c r="B101" s="1143" t="s">
        <v>906</v>
      </c>
      <c r="C101" s="1144">
        <f>$G$3</f>
        <v>0</v>
      </c>
      <c r="D101" s="1144">
        <f t="shared" ref="D101:N101" si="30">$G$3</f>
        <v>0</v>
      </c>
      <c r="E101" s="1144">
        <f t="shared" si="30"/>
        <v>0</v>
      </c>
      <c r="F101" s="1144">
        <f t="shared" si="30"/>
        <v>0</v>
      </c>
      <c r="G101" s="1144">
        <f t="shared" si="30"/>
        <v>0</v>
      </c>
      <c r="H101" s="1144">
        <f t="shared" si="30"/>
        <v>0</v>
      </c>
      <c r="I101" s="1144">
        <f t="shared" si="30"/>
        <v>0</v>
      </c>
      <c r="J101" s="1144">
        <f t="shared" si="30"/>
        <v>0</v>
      </c>
      <c r="K101" s="1144">
        <f t="shared" si="30"/>
        <v>0</v>
      </c>
      <c r="L101" s="1144">
        <f t="shared" si="30"/>
        <v>0</v>
      </c>
      <c r="M101" s="1144">
        <f t="shared" si="30"/>
        <v>0</v>
      </c>
      <c r="N101" s="1144">
        <f t="shared" si="30"/>
        <v>0</v>
      </c>
    </row>
    <row r="102" spans="1:14">
      <c r="A102" s="346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5"/>
      <c r="B108" s="3467" t="s">
        <v>1638</v>
      </c>
      <c r="C108" s="1141">
        <f>C99</f>
        <v>8</v>
      </c>
      <c r="D108" s="1141">
        <f t="shared" ref="D108:N108" si="31">D99</f>
        <v>8</v>
      </c>
      <c r="E108" s="1141">
        <f t="shared" si="31"/>
        <v>8</v>
      </c>
      <c r="F108" s="1141">
        <f t="shared" si="31"/>
        <v>8</v>
      </c>
      <c r="G108" s="1141">
        <f t="shared" si="31"/>
        <v>8</v>
      </c>
      <c r="H108" s="1141">
        <f t="shared" si="31"/>
        <v>8</v>
      </c>
      <c r="I108" s="1141">
        <f t="shared" si="31"/>
        <v>8</v>
      </c>
      <c r="J108" s="1141">
        <f t="shared" si="31"/>
        <v>8</v>
      </c>
      <c r="K108" s="1141">
        <f t="shared" si="31"/>
        <v>8</v>
      </c>
      <c r="L108" s="1141">
        <f t="shared" si="31"/>
        <v>8</v>
      </c>
      <c r="M108" s="1141">
        <f t="shared" si="31"/>
        <v>8</v>
      </c>
      <c r="N108" s="1141">
        <f t="shared" si="31"/>
        <v>8</v>
      </c>
    </row>
    <row r="109" spans="1:14">
      <c r="A109" s="3466"/>
      <c r="B109" s="346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0" t="s">
        <v>1639</v>
      </c>
      <c r="B110" s="3450"/>
      <c r="C110" s="3450"/>
      <c r="D110" s="3450"/>
      <c r="E110" s="3450"/>
      <c r="F110" s="3450"/>
      <c r="G110" s="3450"/>
      <c r="H110" s="3450"/>
      <c r="I110" s="3450"/>
      <c r="J110" s="3450"/>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2">I115</f>
        <v>0.68899999999999995</v>
      </c>
      <c r="K115" s="1030">
        <f t="shared" si="32"/>
        <v>0.68899999999999995</v>
      </c>
      <c r="L115" s="1030">
        <f t="shared" si="32"/>
        <v>0.68899999999999995</v>
      </c>
      <c r="M115" s="1031">
        <f t="shared" si="32"/>
        <v>0.68899999999999995</v>
      </c>
    </row>
    <row r="116" spans="1:13" ht="12.75">
      <c r="A116" s="1029" t="s">
        <v>901</v>
      </c>
      <c r="B116" s="1030">
        <f>ROUND(0.949-0.012*B113,4)</f>
        <v>0.94899999999999995</v>
      </c>
      <c r="C116" s="1030">
        <f>B116</f>
        <v>0.94899999999999995</v>
      </c>
      <c r="D116" s="1030">
        <f>ROUND(0.8567-0.013*B113,4)</f>
        <v>0.85670000000000002</v>
      </c>
      <c r="E116" s="1030">
        <f t="shared" ref="E116:H117" si="33">D116</f>
        <v>0.85670000000000002</v>
      </c>
      <c r="F116" s="1030">
        <f t="shared" si="33"/>
        <v>0.85670000000000002</v>
      </c>
      <c r="G116" s="1030">
        <f t="shared" si="33"/>
        <v>0.85670000000000002</v>
      </c>
      <c r="H116" s="1030">
        <f t="shared" si="33"/>
        <v>0.85670000000000002</v>
      </c>
      <c r="I116" s="1030">
        <f>ROUND(0.7694-0.014*B113,4)</f>
        <v>0.76939999999999997</v>
      </c>
      <c r="J116" s="1030">
        <f t="shared" si="32"/>
        <v>0.76939999999999997</v>
      </c>
      <c r="K116" s="1030">
        <f t="shared" si="32"/>
        <v>0.76939999999999997</v>
      </c>
      <c r="L116" s="1030">
        <f t="shared" si="32"/>
        <v>0.76939999999999997</v>
      </c>
      <c r="M116" s="1031">
        <f t="shared" si="32"/>
        <v>0.76939999999999997</v>
      </c>
    </row>
    <row r="117" spans="1:13" ht="12.75">
      <c r="A117" s="1032" t="s">
        <v>902</v>
      </c>
      <c r="B117" s="1030">
        <f>ROUND(0.8808-0.006*B113,4)</f>
        <v>0.88080000000000003</v>
      </c>
      <c r="C117" s="1030">
        <f>B117</f>
        <v>0.88080000000000003</v>
      </c>
      <c r="D117" s="1030">
        <f>ROUND(0.8748-0.008*B113,4)</f>
        <v>0.87480000000000002</v>
      </c>
      <c r="E117" s="1030">
        <f t="shared" si="33"/>
        <v>0.87480000000000002</v>
      </c>
      <c r="F117" s="1030">
        <f t="shared" si="33"/>
        <v>0.87480000000000002</v>
      </c>
      <c r="G117" s="1030">
        <f t="shared" si="33"/>
        <v>0.87480000000000002</v>
      </c>
      <c r="H117" s="1030">
        <f t="shared" si="33"/>
        <v>0.87480000000000002</v>
      </c>
      <c r="I117" s="1030">
        <f>ROUND(0.7412-0.0095*B113,4)</f>
        <v>0.74119999999999997</v>
      </c>
      <c r="J117" s="1030">
        <f t="shared" si="32"/>
        <v>0.74119999999999997</v>
      </c>
      <c r="K117" s="1030">
        <f t="shared" si="32"/>
        <v>0.74119999999999997</v>
      </c>
      <c r="L117" s="1030">
        <f t="shared" si="32"/>
        <v>0.74119999999999997</v>
      </c>
      <c r="M117" s="1031">
        <f t="shared" si="32"/>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2"/>
        <v>0.56669999999999998</v>
      </c>
      <c r="K118" s="1034">
        <f t="shared" si="32"/>
        <v>0.56669999999999998</v>
      </c>
      <c r="L118" s="1034">
        <f t="shared" si="32"/>
        <v>0.56669999999999998</v>
      </c>
      <c r="M118" s="1035">
        <f t="shared" si="32"/>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3" t="s">
        <v>2970</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SUM(J6:J10,J13)</f>
        <v>155</v>
      </c>
      <c r="K15" s="3060">
        <f>SUM(K6:K10,K13)</f>
        <v>155</v>
      </c>
      <c r="L15" s="3060">
        <f>SUM(L6:L10,L13)</f>
        <v>155</v>
      </c>
      <c r="M15" s="3060">
        <f>SUM(M6:M10,M13)</f>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7" t="s">
        <v>1007</v>
      </c>
      <c r="B18" s="1150" t="s">
        <v>1446</v>
      </c>
      <c r="C18" s="1127" t="s">
        <v>1447</v>
      </c>
      <c r="D18" s="1128"/>
      <c r="E18" s="1150">
        <v>1</v>
      </c>
      <c r="F18" s="1129" t="s">
        <v>1448</v>
      </c>
      <c r="G18" s="1130"/>
      <c r="H18" s="1101"/>
      <c r="I18" s="1101"/>
    </row>
    <row r="19" spans="1:9" s="1585" customFormat="1" ht="19.5" customHeight="1">
      <c r="A19" s="3457"/>
      <c r="B19" s="3457" t="s">
        <v>1449</v>
      </c>
      <c r="C19" s="1127" t="s">
        <v>1450</v>
      </c>
      <c r="D19" s="1128"/>
      <c r="E19" s="1150">
        <v>0.9</v>
      </c>
      <c r="F19" s="1129" t="s">
        <v>1451</v>
      </c>
      <c r="G19" s="1130"/>
      <c r="H19" s="1101"/>
      <c r="I19" s="1101"/>
    </row>
    <row r="20" spans="1:9" s="1585" customFormat="1" ht="19.5" customHeight="1">
      <c r="A20" s="3457"/>
      <c r="B20" s="3457"/>
      <c r="C20" s="1127" t="s">
        <v>1452</v>
      </c>
      <c r="D20" s="1128"/>
      <c r="E20" s="1150">
        <v>1.1000000000000001</v>
      </c>
      <c r="F20" s="1129" t="s">
        <v>1453</v>
      </c>
      <c r="G20" s="1130"/>
      <c r="H20" s="1101"/>
      <c r="I20" s="1101"/>
    </row>
    <row r="21" spans="1:9" s="1585" customFormat="1" ht="19.5" customHeight="1">
      <c r="A21" s="3457"/>
      <c r="B21" s="3457"/>
      <c r="C21" s="1127" t="s">
        <v>1454</v>
      </c>
      <c r="D21" s="1128"/>
      <c r="E21" s="1150">
        <v>0.8</v>
      </c>
      <c r="F21" s="1129" t="s">
        <v>1455</v>
      </c>
      <c r="G21" s="1130"/>
      <c r="H21" s="1101"/>
      <c r="I21" s="1101"/>
    </row>
    <row r="22" spans="1:9" s="1585" customFormat="1" ht="19.5" customHeight="1">
      <c r="A22" s="3457"/>
      <c r="B22" s="3457"/>
      <c r="C22" s="1127" t="s">
        <v>1456</v>
      </c>
      <c r="D22" s="1128"/>
      <c r="E22" s="1150">
        <v>0.5</v>
      </c>
      <c r="F22" s="1129"/>
      <c r="G22" s="1130"/>
      <c r="H22" s="1101"/>
      <c r="I22" s="1101"/>
    </row>
    <row r="23" spans="1:9" s="1585" customFormat="1" ht="19.5" customHeight="1">
      <c r="A23" s="3457" t="s">
        <v>1029</v>
      </c>
      <c r="B23" s="1150" t="s">
        <v>1446</v>
      </c>
      <c r="C23" s="1127" t="s">
        <v>1457</v>
      </c>
      <c r="D23" s="1128"/>
      <c r="E23" s="1150">
        <v>1</v>
      </c>
      <c r="F23" s="1129" t="s">
        <v>1458</v>
      </c>
      <c r="G23" s="1130"/>
      <c r="H23" s="1101"/>
      <c r="I23" s="1101"/>
    </row>
    <row r="24" spans="1:9" s="1585" customFormat="1" ht="19.5" customHeight="1">
      <c r="A24" s="3457"/>
      <c r="B24" s="3457" t="s">
        <v>1449</v>
      </c>
      <c r="C24" s="1127" t="s">
        <v>1459</v>
      </c>
      <c r="D24" s="1128"/>
      <c r="E24" s="1150">
        <v>0.5</v>
      </c>
      <c r="F24" s="1129"/>
      <c r="G24" s="1130"/>
      <c r="H24" s="1101"/>
      <c r="I24" s="1101"/>
    </row>
    <row r="25" spans="1:9" s="1585" customFormat="1" ht="19.5" customHeight="1">
      <c r="A25" s="3457"/>
      <c r="B25" s="3457"/>
      <c r="C25" s="1127" t="s">
        <v>1460</v>
      </c>
      <c r="D25" s="1128"/>
      <c r="E25" s="1150">
        <v>1.1000000000000001</v>
      </c>
      <c r="F25" s="1129"/>
      <c r="G25" s="1130"/>
      <c r="H25" s="1101"/>
      <c r="I25" s="1101"/>
    </row>
    <row r="26" spans="1:9" s="1585" customFormat="1" ht="19.5" customHeight="1">
      <c r="A26" s="3457"/>
      <c r="B26" s="3457"/>
      <c r="C26" s="1127" t="s">
        <v>1461</v>
      </c>
      <c r="D26" s="1128"/>
      <c r="E26" s="1150">
        <v>1.1000000000000001</v>
      </c>
      <c r="F26" s="1129"/>
      <c r="G26" s="1130"/>
      <c r="H26" s="1101"/>
      <c r="I26" s="1101"/>
    </row>
    <row r="27" spans="1:9" s="1585" customFormat="1" ht="19.5" customHeight="1">
      <c r="A27" s="3457"/>
      <c r="B27" s="3457"/>
      <c r="C27" s="1127" t="s">
        <v>1462</v>
      </c>
      <c r="D27" s="1128"/>
      <c r="E27" s="1150">
        <v>0.9</v>
      </c>
      <c r="F27" s="1129" t="s">
        <v>1463</v>
      </c>
      <c r="G27" s="1130"/>
      <c r="H27" s="1101"/>
      <c r="I27" s="1101"/>
    </row>
    <row r="28" spans="1:9" s="1585" customFormat="1" ht="19.5" customHeight="1">
      <c r="A28" s="3457"/>
      <c r="B28" s="3457"/>
      <c r="C28" s="1127" t="s">
        <v>1464</v>
      </c>
      <c r="D28" s="1128"/>
      <c r="E28" s="1150">
        <v>0.9</v>
      </c>
      <c r="F28" s="1129" t="s">
        <v>1465</v>
      </c>
      <c r="G28" s="1130"/>
      <c r="H28" s="1101"/>
      <c r="I28" s="1101"/>
    </row>
    <row r="29" spans="1:9" s="1585" customFormat="1" ht="19.5" customHeight="1">
      <c r="A29" s="3457"/>
      <c r="B29" s="3457"/>
      <c r="C29" s="1127" t="s">
        <v>1466</v>
      </c>
      <c r="D29" s="1128"/>
      <c r="E29" s="1150">
        <v>0.9</v>
      </c>
      <c r="F29" s="1129" t="s">
        <v>1467</v>
      </c>
      <c r="G29" s="1130"/>
      <c r="H29" s="1101"/>
      <c r="I29" s="1101"/>
    </row>
    <row r="30" spans="1:9" s="1585" customFormat="1" ht="19.5" customHeight="1">
      <c r="A30" s="3457"/>
      <c r="B30" s="3457"/>
      <c r="C30" s="1127" t="s">
        <v>1468</v>
      </c>
      <c r="D30" s="1128"/>
      <c r="E30" s="1150">
        <v>0.9</v>
      </c>
      <c r="F30" s="1129" t="s">
        <v>1469</v>
      </c>
      <c r="G30" s="1130"/>
      <c r="H30" s="1101"/>
      <c r="I30" s="1101"/>
    </row>
    <row r="31" spans="1:9" s="1585" customFormat="1" ht="19.5" customHeight="1">
      <c r="A31" s="3457"/>
      <c r="B31" s="3457"/>
      <c r="C31" s="1127" t="s">
        <v>1470</v>
      </c>
      <c r="D31" s="1128"/>
      <c r="E31" s="1150">
        <v>0.8</v>
      </c>
      <c r="F31" s="1129" t="s">
        <v>1471</v>
      </c>
      <c r="G31" s="1130"/>
      <c r="H31" s="1101"/>
      <c r="I31" s="1101"/>
    </row>
    <row r="32" spans="1:9" s="1585" customFormat="1" ht="19.5" customHeight="1">
      <c r="A32" s="3457"/>
      <c r="B32" s="3457"/>
      <c r="C32" s="1127" t="s">
        <v>1472</v>
      </c>
      <c r="D32" s="1128"/>
      <c r="E32" s="1150">
        <v>0.8</v>
      </c>
      <c r="F32" s="1129" t="s">
        <v>1473</v>
      </c>
      <c r="G32" s="1130"/>
      <c r="H32" s="1101"/>
      <c r="I32" s="1101"/>
    </row>
    <row r="33" spans="1:9" s="1585" customFormat="1" ht="19.5" customHeight="1">
      <c r="A33" s="3457" t="s">
        <v>1474</v>
      </c>
      <c r="B33" s="1150" t="s">
        <v>1446</v>
      </c>
      <c r="C33" s="1127" t="s">
        <v>1475</v>
      </c>
      <c r="D33" s="1128"/>
      <c r="E33" s="1150">
        <v>1</v>
      </c>
      <c r="F33" s="1129" t="s">
        <v>1476</v>
      </c>
      <c r="G33" s="1130"/>
      <c r="H33" s="1101"/>
      <c r="I33" s="1101"/>
    </row>
    <row r="34" spans="1:9" s="1585" customFormat="1" ht="19.5" customHeight="1">
      <c r="A34" s="3457"/>
      <c r="B34" s="1150" t="s">
        <v>1449</v>
      </c>
      <c r="C34" s="1127" t="s">
        <v>1477</v>
      </c>
      <c r="D34" s="1128"/>
      <c r="E34" s="1150">
        <v>1.5</v>
      </c>
      <c r="F34" s="1129" t="s">
        <v>1478</v>
      </c>
      <c r="G34" s="1130"/>
      <c r="H34" s="1101"/>
      <c r="I34" s="1101"/>
    </row>
    <row r="35" spans="1:9" s="1585" customFormat="1" ht="19.5" customHeight="1">
      <c r="A35" s="3457" t="s">
        <v>1432</v>
      </c>
      <c r="B35" s="1150" t="s">
        <v>1446</v>
      </c>
      <c r="C35" s="1127" t="s">
        <v>1479</v>
      </c>
      <c r="D35" s="1128"/>
      <c r="E35" s="1150">
        <v>1</v>
      </c>
      <c r="F35" s="1129" t="s">
        <v>1480</v>
      </c>
      <c r="G35" s="1130"/>
      <c r="H35" s="1101"/>
      <c r="I35" s="1101"/>
    </row>
    <row r="36" spans="1:9" s="1585" customFormat="1" ht="19.5" customHeight="1">
      <c r="A36" s="3457"/>
      <c r="B36" s="3457" t="s">
        <v>1449</v>
      </c>
      <c r="C36" s="1127" t="s">
        <v>1481</v>
      </c>
      <c r="D36" s="1128"/>
      <c r="E36" s="1150">
        <v>1</v>
      </c>
      <c r="F36" s="1129" t="s">
        <v>1482</v>
      </c>
      <c r="G36" s="1130"/>
      <c r="H36" s="1101"/>
      <c r="I36" s="1101"/>
    </row>
    <row r="37" spans="1:9" s="1585" customFormat="1" ht="19.5" customHeight="1">
      <c r="A37" s="3457"/>
      <c r="B37" s="3457"/>
      <c r="C37" s="1127" t="s">
        <v>1483</v>
      </c>
      <c r="D37" s="1128"/>
      <c r="E37" s="1150">
        <v>1.5</v>
      </c>
      <c r="F37" s="1129" t="s">
        <v>1484</v>
      </c>
      <c r="G37" s="1130"/>
      <c r="H37" s="1101"/>
      <c r="I37" s="1101"/>
    </row>
    <row r="38" spans="1:9" s="1585" customFormat="1" ht="19.5" customHeight="1">
      <c r="A38" s="3457"/>
      <c r="B38" s="3457"/>
      <c r="C38" s="1127" t="s">
        <v>1485</v>
      </c>
      <c r="D38" s="1128"/>
      <c r="E38" s="1150">
        <v>1</v>
      </c>
      <c r="F38" s="1129" t="s">
        <v>1486</v>
      </c>
      <c r="G38" s="1130"/>
      <c r="H38" s="1101"/>
      <c r="I38" s="1101"/>
    </row>
    <row r="39" spans="1:9" s="1585" customFormat="1" ht="19.5" customHeight="1">
      <c r="A39" s="3457"/>
      <c r="B39" s="345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7" t="s">
        <v>1501</v>
      </c>
      <c r="C61" s="1064" t="s">
        <v>1502</v>
      </c>
      <c r="D61" s="1064" t="s">
        <v>1503</v>
      </c>
      <c r="E61" s="1135">
        <v>0.5</v>
      </c>
      <c r="F61" s="1150">
        <v>80</v>
      </c>
      <c r="H61" s="1101">
        <f>SUMIF(C59:C119,基准地价!C8,E59:E119)</f>
        <v>0</v>
      </c>
    </row>
    <row r="62" spans="1:8" s="1101" customFormat="1" ht="24">
      <c r="A62" s="1150">
        <v>2</v>
      </c>
      <c r="B62" s="3457"/>
      <c r="C62" s="1064" t="s">
        <v>1504</v>
      </c>
      <c r="D62" s="1064" t="s">
        <v>1505</v>
      </c>
      <c r="E62" s="1135">
        <v>0.5</v>
      </c>
      <c r="F62" s="1150">
        <v>80</v>
      </c>
    </row>
    <row r="63" spans="1:8" s="1101" customFormat="1" ht="36">
      <c r="A63" s="1150">
        <v>3</v>
      </c>
      <c r="B63" s="3457"/>
      <c r="C63" s="1064" t="s">
        <v>1506</v>
      </c>
      <c r="D63" s="1064" t="s">
        <v>1507</v>
      </c>
      <c r="E63" s="1135">
        <v>0.5</v>
      </c>
      <c r="F63" s="1150">
        <v>80</v>
      </c>
    </row>
    <row r="64" spans="1:8" s="1101" customFormat="1" ht="36">
      <c r="A64" s="1150">
        <v>4</v>
      </c>
      <c r="B64" s="3457"/>
      <c r="C64" s="1064" t="s">
        <v>1508</v>
      </c>
      <c r="D64" s="1064" t="s">
        <v>1509</v>
      </c>
      <c r="E64" s="1135">
        <v>0.4</v>
      </c>
      <c r="F64" s="1150">
        <v>60</v>
      </c>
    </row>
    <row r="65" spans="1:6" s="1101" customFormat="1" ht="36">
      <c r="A65" s="1150">
        <v>5</v>
      </c>
      <c r="B65" s="3457"/>
      <c r="C65" s="1064" t="s">
        <v>1510</v>
      </c>
      <c r="D65" s="1064" t="s">
        <v>1511</v>
      </c>
      <c r="E65" s="1135">
        <v>0.2</v>
      </c>
      <c r="F65" s="1150">
        <v>30</v>
      </c>
    </row>
    <row r="66" spans="1:6" s="1101" customFormat="1" ht="36">
      <c r="A66" s="1150">
        <v>6</v>
      </c>
      <c r="B66" s="3457"/>
      <c r="C66" s="1064" t="s">
        <v>1512</v>
      </c>
      <c r="D66" s="1064" t="s">
        <v>1513</v>
      </c>
      <c r="E66" s="1135">
        <v>0.3</v>
      </c>
      <c r="F66" s="1150">
        <v>50</v>
      </c>
    </row>
    <row r="67" spans="1:6" s="1101" customFormat="1" ht="36">
      <c r="A67" s="1150">
        <v>7</v>
      </c>
      <c r="B67" s="3457"/>
      <c r="C67" s="1064" t="s">
        <v>1514</v>
      </c>
      <c r="D67" s="1064" t="s">
        <v>1515</v>
      </c>
      <c r="E67" s="1135">
        <v>0.2</v>
      </c>
      <c r="F67" s="1150">
        <v>30</v>
      </c>
    </row>
    <row r="68" spans="1:6" s="1101" customFormat="1" ht="36">
      <c r="A68" s="1150">
        <v>8</v>
      </c>
      <c r="B68" s="3457"/>
      <c r="C68" s="1064" t="s">
        <v>1516</v>
      </c>
      <c r="D68" s="1064" t="s">
        <v>1517</v>
      </c>
      <c r="E68" s="1135">
        <v>0.2</v>
      </c>
      <c r="F68" s="1150">
        <v>30</v>
      </c>
    </row>
    <row r="69" spans="1:6" s="1101" customFormat="1" ht="36">
      <c r="A69" s="1150">
        <v>9</v>
      </c>
      <c r="B69" s="3457"/>
      <c r="C69" s="1064" t="s">
        <v>1518</v>
      </c>
      <c r="D69" s="1064" t="s">
        <v>1519</v>
      </c>
      <c r="E69" s="1135">
        <v>0.2</v>
      </c>
      <c r="F69" s="1150">
        <v>30</v>
      </c>
    </row>
    <row r="70" spans="1:6" s="1101" customFormat="1" ht="48">
      <c r="A70" s="1150">
        <v>10</v>
      </c>
      <c r="B70" s="3457"/>
      <c r="C70" s="1064" t="s">
        <v>1520</v>
      </c>
      <c r="D70" s="1064" t="s">
        <v>1521</v>
      </c>
      <c r="E70" s="1135">
        <v>0.2</v>
      </c>
      <c r="F70" s="1150">
        <v>30</v>
      </c>
    </row>
    <row r="71" spans="1:6" s="1101" customFormat="1" ht="48">
      <c r="A71" s="1150">
        <v>11</v>
      </c>
      <c r="B71" s="3457"/>
      <c r="C71" s="1064" t="s">
        <v>1522</v>
      </c>
      <c r="D71" s="1064" t="s">
        <v>1523</v>
      </c>
      <c r="E71" s="1135">
        <v>0.2</v>
      </c>
      <c r="F71" s="1150">
        <v>30</v>
      </c>
    </row>
    <row r="72" spans="1:6" s="1101" customFormat="1" ht="36">
      <c r="A72" s="1150">
        <v>12</v>
      </c>
      <c r="B72" s="3457"/>
      <c r="C72" s="1064" t="s">
        <v>1524</v>
      </c>
      <c r="D72" s="1064" t="s">
        <v>1525</v>
      </c>
      <c r="E72" s="1135">
        <v>0.5</v>
      </c>
      <c r="F72" s="1150">
        <v>80</v>
      </c>
    </row>
    <row r="73" spans="1:6" s="1101" customFormat="1" ht="24">
      <c r="A73" s="1150">
        <v>13</v>
      </c>
      <c r="B73" s="3457"/>
      <c r="C73" s="1064" t="s">
        <v>1526</v>
      </c>
      <c r="D73" s="1064" t="s">
        <v>1527</v>
      </c>
      <c r="E73" s="1135">
        <v>0.4</v>
      </c>
      <c r="F73" s="1150">
        <v>60</v>
      </c>
    </row>
    <row r="74" spans="1:6" s="1101" customFormat="1" ht="24">
      <c r="A74" s="1150">
        <v>14</v>
      </c>
      <c r="B74" s="3457"/>
      <c r="C74" s="1064" t="s">
        <v>1528</v>
      </c>
      <c r="D74" s="1064" t="s">
        <v>1529</v>
      </c>
      <c r="E74" s="1135">
        <v>0.2</v>
      </c>
      <c r="F74" s="1150">
        <v>30</v>
      </c>
    </row>
    <row r="75" spans="1:6" s="1101" customFormat="1" ht="24">
      <c r="A75" s="1150">
        <v>15</v>
      </c>
      <c r="B75" s="3457"/>
      <c r="C75" s="1064" t="s">
        <v>1530</v>
      </c>
      <c r="D75" s="1064" t="s">
        <v>1531</v>
      </c>
      <c r="E75" s="1135">
        <v>0.2</v>
      </c>
      <c r="F75" s="1150">
        <v>30</v>
      </c>
    </row>
    <row r="76" spans="1:6" s="1101" customFormat="1" ht="24">
      <c r="A76" s="1150">
        <v>16</v>
      </c>
      <c r="B76" s="3457" t="s">
        <v>1532</v>
      </c>
      <c r="C76" s="1064" t="s">
        <v>1533</v>
      </c>
      <c r="D76" s="1064" t="s">
        <v>1534</v>
      </c>
      <c r="E76" s="1135">
        <v>0.5</v>
      </c>
      <c r="F76" s="1150">
        <v>80</v>
      </c>
    </row>
    <row r="77" spans="1:6" s="1101" customFormat="1" ht="24">
      <c r="A77" s="1150">
        <v>17</v>
      </c>
      <c r="B77" s="3457"/>
      <c r="C77" s="1064" t="s">
        <v>1535</v>
      </c>
      <c r="D77" s="1064" t="s">
        <v>1536</v>
      </c>
      <c r="E77" s="1135">
        <v>0.5</v>
      </c>
      <c r="F77" s="1150">
        <v>80</v>
      </c>
    </row>
    <row r="78" spans="1:6" s="1101" customFormat="1" ht="24">
      <c r="A78" s="1150">
        <v>18</v>
      </c>
      <c r="B78" s="3457"/>
      <c r="C78" s="1064" t="s">
        <v>1537</v>
      </c>
      <c r="D78" s="1064" t="s">
        <v>1538</v>
      </c>
      <c r="E78" s="1135">
        <v>0.2</v>
      </c>
      <c r="F78" s="1150">
        <v>30</v>
      </c>
    </row>
    <row r="79" spans="1:6" s="1101" customFormat="1" ht="24">
      <c r="A79" s="1150">
        <v>19</v>
      </c>
      <c r="B79" s="3457"/>
      <c r="C79" s="1064" t="s">
        <v>1539</v>
      </c>
      <c r="D79" s="1064" t="s">
        <v>1540</v>
      </c>
      <c r="E79" s="1135">
        <v>0.5</v>
      </c>
      <c r="F79" s="1150">
        <v>80</v>
      </c>
    </row>
    <row r="80" spans="1:6" s="1101" customFormat="1" ht="36">
      <c r="A80" s="1150">
        <v>20</v>
      </c>
      <c r="B80" s="3457"/>
      <c r="C80" s="1064" t="s">
        <v>1541</v>
      </c>
      <c r="D80" s="1064" t="s">
        <v>1542</v>
      </c>
      <c r="E80" s="1135">
        <v>0.2</v>
      </c>
      <c r="F80" s="1150">
        <v>30</v>
      </c>
    </row>
    <row r="81" spans="1:6" s="1101" customFormat="1" ht="36">
      <c r="A81" s="1150">
        <v>21</v>
      </c>
      <c r="B81" s="3457"/>
      <c r="C81" s="1064" t="s">
        <v>1543</v>
      </c>
      <c r="D81" s="1064" t="s">
        <v>1544</v>
      </c>
      <c r="E81" s="1135">
        <v>0.2</v>
      </c>
      <c r="F81" s="1150">
        <v>30</v>
      </c>
    </row>
    <row r="82" spans="1:6" s="1101" customFormat="1" ht="48">
      <c r="A82" s="1150">
        <v>22</v>
      </c>
      <c r="B82" s="3457"/>
      <c r="C82" s="1064" t="s">
        <v>1545</v>
      </c>
      <c r="D82" s="1064" t="s">
        <v>1546</v>
      </c>
      <c r="E82" s="1135">
        <v>0.2</v>
      </c>
      <c r="F82" s="1150">
        <v>30</v>
      </c>
    </row>
    <row r="83" spans="1:6" s="1101" customFormat="1" ht="48">
      <c r="A83" s="1150">
        <v>23</v>
      </c>
      <c r="B83" s="3457"/>
      <c r="C83" s="1064" t="s">
        <v>1547</v>
      </c>
      <c r="D83" s="1064" t="s">
        <v>1548</v>
      </c>
      <c r="E83" s="1135">
        <v>0.2</v>
      </c>
      <c r="F83" s="1150">
        <v>30</v>
      </c>
    </row>
    <row r="84" spans="1:6" s="1101" customFormat="1" ht="36">
      <c r="A84" s="1150">
        <v>24</v>
      </c>
      <c r="B84" s="3457"/>
      <c r="C84" s="1064" t="s">
        <v>1549</v>
      </c>
      <c r="D84" s="1064" t="s">
        <v>1550</v>
      </c>
      <c r="E84" s="1135">
        <v>0.2</v>
      </c>
      <c r="F84" s="1150">
        <v>30</v>
      </c>
    </row>
    <row r="85" spans="1:6" s="1101" customFormat="1" ht="36">
      <c r="A85" s="1150">
        <v>25</v>
      </c>
      <c r="B85" s="3457"/>
      <c r="C85" s="1064" t="s">
        <v>1551</v>
      </c>
      <c r="D85" s="1064" t="s">
        <v>1552</v>
      </c>
      <c r="E85" s="1135">
        <v>0.5</v>
      </c>
      <c r="F85" s="1150">
        <v>80</v>
      </c>
    </row>
    <row r="86" spans="1:6" s="1101" customFormat="1" ht="36">
      <c r="A86" s="1150">
        <v>26</v>
      </c>
      <c r="B86" s="3457"/>
      <c r="C86" s="1064" t="s">
        <v>1553</v>
      </c>
      <c r="D86" s="1064" t="s">
        <v>1554</v>
      </c>
      <c r="E86" s="1135">
        <v>0.2</v>
      </c>
      <c r="F86" s="1150">
        <v>30</v>
      </c>
    </row>
    <row r="87" spans="1:6" s="1101" customFormat="1" ht="36">
      <c r="A87" s="1150">
        <v>27</v>
      </c>
      <c r="B87" s="3457"/>
      <c r="C87" s="1064" t="s">
        <v>1555</v>
      </c>
      <c r="D87" s="1064" t="s">
        <v>1556</v>
      </c>
      <c r="E87" s="1135">
        <v>0.2</v>
      </c>
      <c r="F87" s="1150">
        <v>30</v>
      </c>
    </row>
    <row r="88" spans="1:6" s="1101" customFormat="1" ht="36">
      <c r="A88" s="1150">
        <v>28</v>
      </c>
      <c r="B88" s="3457"/>
      <c r="C88" s="1064" t="s">
        <v>1557</v>
      </c>
      <c r="D88" s="1064" t="s">
        <v>1558</v>
      </c>
      <c r="E88" s="1135">
        <v>0.2</v>
      </c>
      <c r="F88" s="1150">
        <v>30</v>
      </c>
    </row>
    <row r="89" spans="1:6" s="1101" customFormat="1" ht="24">
      <c r="A89" s="1150">
        <v>29</v>
      </c>
      <c r="B89" s="3457"/>
      <c r="C89" s="1064" t="s">
        <v>1559</v>
      </c>
      <c r="D89" s="1064" t="s">
        <v>1560</v>
      </c>
      <c r="E89" s="1135">
        <v>0.2</v>
      </c>
      <c r="F89" s="1150">
        <v>30</v>
      </c>
    </row>
    <row r="90" spans="1:6" s="1101" customFormat="1" ht="24">
      <c r="A90" s="1150">
        <v>30</v>
      </c>
      <c r="B90" s="3457"/>
      <c r="C90" s="1064" t="s">
        <v>1561</v>
      </c>
      <c r="D90" s="1064" t="s">
        <v>1562</v>
      </c>
      <c r="E90" s="1135">
        <v>0.2</v>
      </c>
      <c r="F90" s="1150">
        <v>30</v>
      </c>
    </row>
    <row r="91" spans="1:6" s="1101" customFormat="1" ht="36">
      <c r="A91" s="1150">
        <v>31</v>
      </c>
      <c r="B91" s="3457"/>
      <c r="C91" s="1064" t="s">
        <v>1563</v>
      </c>
      <c r="D91" s="1064" t="s">
        <v>1564</v>
      </c>
      <c r="E91" s="1135">
        <v>0.2</v>
      </c>
      <c r="F91" s="1150">
        <v>30</v>
      </c>
    </row>
    <row r="92" spans="1:6" s="1101" customFormat="1" ht="24">
      <c r="A92" s="1150">
        <v>32</v>
      </c>
      <c r="B92" s="3457" t="s">
        <v>1565</v>
      </c>
      <c r="C92" s="1150" t="s">
        <v>1566</v>
      </c>
      <c r="D92" s="1064" t="s">
        <v>1567</v>
      </c>
      <c r="E92" s="1135">
        <v>0.2</v>
      </c>
      <c r="F92" s="1150">
        <v>30</v>
      </c>
    </row>
    <row r="93" spans="1:6" s="1101" customFormat="1" ht="36">
      <c r="A93" s="1150">
        <v>33</v>
      </c>
      <c r="B93" s="3457"/>
      <c r="C93" s="1150" t="s">
        <v>1568</v>
      </c>
      <c r="D93" s="1064" t="s">
        <v>1569</v>
      </c>
      <c r="E93" s="1135">
        <v>0.2</v>
      </c>
      <c r="F93" s="1150">
        <v>30</v>
      </c>
    </row>
    <row r="94" spans="1:6" s="1101" customFormat="1" ht="48">
      <c r="A94" s="1150">
        <v>34</v>
      </c>
      <c r="B94" s="3457"/>
      <c r="C94" s="1150" t="s">
        <v>1570</v>
      </c>
      <c r="D94" s="1064" t="s">
        <v>1571</v>
      </c>
      <c r="E94" s="1135">
        <v>0.2</v>
      </c>
      <c r="F94" s="1150">
        <v>30</v>
      </c>
    </row>
    <row r="95" spans="1:6" s="1101" customFormat="1" ht="36">
      <c r="A95" s="1150">
        <v>35</v>
      </c>
      <c r="B95" s="3457"/>
      <c r="C95" s="1150" t="s">
        <v>1572</v>
      </c>
      <c r="D95" s="1064" t="s">
        <v>1573</v>
      </c>
      <c r="E95" s="1135">
        <v>0.2</v>
      </c>
      <c r="F95" s="1150">
        <v>30</v>
      </c>
    </row>
    <row r="96" spans="1:6" s="1101" customFormat="1" ht="48">
      <c r="A96" s="1150">
        <v>36</v>
      </c>
      <c r="B96" s="3457"/>
      <c r="C96" s="1064" t="s">
        <v>1574</v>
      </c>
      <c r="D96" s="1064" t="s">
        <v>1575</v>
      </c>
      <c r="E96" s="1135">
        <v>0.2</v>
      </c>
      <c r="F96" s="1150">
        <v>30</v>
      </c>
    </row>
    <row r="97" spans="1:6" s="1101" customFormat="1" ht="36">
      <c r="A97" s="1150">
        <v>37</v>
      </c>
      <c r="B97" s="3457"/>
      <c r="C97" s="1150" t="s">
        <v>1576</v>
      </c>
      <c r="D97" s="1064" t="s">
        <v>1577</v>
      </c>
      <c r="E97" s="1135">
        <v>0.2</v>
      </c>
      <c r="F97" s="1150">
        <v>30</v>
      </c>
    </row>
    <row r="98" spans="1:6" s="1101" customFormat="1" ht="36">
      <c r="A98" s="1150">
        <v>38</v>
      </c>
      <c r="B98" s="3457"/>
      <c r="C98" s="1150" t="s">
        <v>1578</v>
      </c>
      <c r="D98" s="1064" t="s">
        <v>1579</v>
      </c>
      <c r="E98" s="1135">
        <v>0.2</v>
      </c>
      <c r="F98" s="1150">
        <v>30</v>
      </c>
    </row>
    <row r="99" spans="1:6" s="1101" customFormat="1" ht="36">
      <c r="A99" s="1150">
        <v>39</v>
      </c>
      <c r="B99" s="3457" t="s">
        <v>1580</v>
      </c>
      <c r="C99" s="1150" t="s">
        <v>1581</v>
      </c>
      <c r="D99" s="1064" t="s">
        <v>1582</v>
      </c>
      <c r="E99" s="1135">
        <v>0.3</v>
      </c>
      <c r="F99" s="1150">
        <v>50</v>
      </c>
    </row>
    <row r="100" spans="1:6" s="1101" customFormat="1" ht="24">
      <c r="A100" s="1150">
        <v>40</v>
      </c>
      <c r="B100" s="3457"/>
      <c r="C100" s="1150" t="s">
        <v>1583</v>
      </c>
      <c r="D100" s="1064" t="s">
        <v>1584</v>
      </c>
      <c r="E100" s="1135">
        <v>0.2</v>
      </c>
      <c r="F100" s="1150">
        <v>30</v>
      </c>
    </row>
    <row r="101" spans="1:6" s="1101" customFormat="1" ht="36">
      <c r="A101" s="1150">
        <v>41</v>
      </c>
      <c r="B101" s="345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7" t="s">
        <v>1595</v>
      </c>
      <c r="C105" s="1150" t="s">
        <v>1596</v>
      </c>
      <c r="D105" s="1064" t="s">
        <v>1597</v>
      </c>
      <c r="E105" s="1135">
        <v>0.2</v>
      </c>
      <c r="F105" s="1150">
        <v>30</v>
      </c>
    </row>
    <row r="106" spans="1:6" s="1101" customFormat="1" ht="36">
      <c r="A106" s="1150">
        <v>46</v>
      </c>
      <c r="B106" s="3457"/>
      <c r="C106" s="1150" t="s">
        <v>1598</v>
      </c>
      <c r="D106" s="1064" t="s">
        <v>1599</v>
      </c>
      <c r="E106" s="1135">
        <v>0.2</v>
      </c>
      <c r="F106" s="1150">
        <v>30</v>
      </c>
    </row>
    <row r="107" spans="1:6" s="1101" customFormat="1" ht="36">
      <c r="A107" s="1150">
        <v>47</v>
      </c>
      <c r="B107" s="3457" t="s">
        <v>1600</v>
      </c>
      <c r="C107" s="1150" t="s">
        <v>1601</v>
      </c>
      <c r="D107" s="1064" t="s">
        <v>1602</v>
      </c>
      <c r="E107" s="1135">
        <v>0.3</v>
      </c>
      <c r="F107" s="1150">
        <v>50</v>
      </c>
    </row>
    <row r="108" spans="1:6" s="1101" customFormat="1" ht="36">
      <c r="A108" s="1150">
        <v>48</v>
      </c>
      <c r="B108" s="345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7" t="s">
        <v>1611</v>
      </c>
      <c r="C111" s="1150" t="s">
        <v>1612</v>
      </c>
      <c r="D111" s="1064" t="s">
        <v>1613</v>
      </c>
      <c r="E111" s="1135">
        <v>0.2</v>
      </c>
      <c r="F111" s="1150">
        <v>30</v>
      </c>
    </row>
    <row r="112" spans="1:6" s="1101" customFormat="1" ht="24">
      <c r="A112" s="1150">
        <v>52</v>
      </c>
      <c r="B112" s="3457"/>
      <c r="C112" s="1150" t="s">
        <v>1614</v>
      </c>
      <c r="D112" s="1064" t="s">
        <v>1615</v>
      </c>
      <c r="E112" s="1135">
        <v>0.2</v>
      </c>
      <c r="F112" s="1150">
        <v>30</v>
      </c>
    </row>
    <row r="113" spans="1:14" s="1101" customFormat="1" ht="24">
      <c r="A113" s="1150">
        <v>53</v>
      </c>
      <c r="B113" s="345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7" t="s">
        <v>1624</v>
      </c>
      <c r="C116" s="1150" t="s">
        <v>1625</v>
      </c>
      <c r="D116" s="1064" t="s">
        <v>1626</v>
      </c>
      <c r="E116" s="1135">
        <v>0.2</v>
      </c>
      <c r="F116" s="1150">
        <v>30</v>
      </c>
    </row>
    <row r="117" spans="1:14" ht="36">
      <c r="A117" s="1150">
        <v>57</v>
      </c>
      <c r="B117" s="345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6" t="s">
        <v>1633</v>
      </c>
      <c r="B121" s="3456"/>
      <c r="C121" s="3456"/>
      <c r="D121" s="3456"/>
      <c r="E121" s="3456"/>
      <c r="F121" s="3456"/>
      <c r="G121" s="3456"/>
      <c r="H121" s="3456"/>
      <c r="I121" s="3456"/>
      <c r="J121" s="345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2418</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2419</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75" t="s">
        <v>2075</v>
      </c>
      <c r="B1" s="3475"/>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1096</v>
      </c>
      <c r="B6" s="1844" t="s">
        <v>2084</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2085</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2086</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2087</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2088</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2089</v>
      </c>
      <c r="C72" s="1854"/>
      <c r="D72" s="1854"/>
      <c r="E72" s="1854"/>
      <c r="F72" s="1846">
        <v>0.05</v>
      </c>
    </row>
    <row r="73" spans="1:6" ht="14.25" thickBot="1">
      <c r="A73" s="1840" t="s">
        <v>925</v>
      </c>
      <c r="B73" s="1844" t="s">
        <v>2090</v>
      </c>
      <c r="C73" s="1854"/>
      <c r="D73" s="1854"/>
      <c r="E73" s="1854"/>
      <c r="F73" s="1846">
        <v>0.05</v>
      </c>
    </row>
    <row r="74" spans="1:6" ht="14.25" thickBot="1">
      <c r="A74" s="1840" t="s">
        <v>925</v>
      </c>
      <c r="B74" s="1844" t="s">
        <v>2091</v>
      </c>
      <c r="C74" s="1854"/>
      <c r="D74" s="1854"/>
      <c r="E74" s="1854"/>
      <c r="F74" s="1846">
        <v>0.05</v>
      </c>
    </row>
    <row r="75" spans="1:6" ht="14.25" thickBot="1">
      <c r="A75" s="1848" t="s">
        <v>925</v>
      </c>
      <c r="B75" s="1855" t="s">
        <v>2092</v>
      </c>
      <c r="C75" s="1851"/>
      <c r="D75" s="1851"/>
      <c r="E75" s="1851"/>
      <c r="F75" s="1856">
        <v>0.05</v>
      </c>
    </row>
    <row r="76" spans="1:6" ht="14.25" thickBot="1">
      <c r="A76" s="1840" t="s">
        <v>1407</v>
      </c>
      <c r="B76" s="1841" t="s">
        <v>2093</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2094</v>
      </c>
      <c r="C102" s="1854"/>
      <c r="D102" s="1854"/>
      <c r="E102" s="1854"/>
      <c r="F102" s="1846">
        <v>0.05</v>
      </c>
    </row>
    <row r="103" spans="1:6" ht="24.75" thickBot="1">
      <c r="A103" s="1840" t="s">
        <v>1407</v>
      </c>
      <c r="B103" s="1844" t="s">
        <v>2095</v>
      </c>
      <c r="C103" s="1854"/>
      <c r="D103" s="1854"/>
      <c r="E103" s="1854"/>
      <c r="F103" s="1846">
        <v>0.05</v>
      </c>
    </row>
    <row r="104" spans="1:6" ht="14.25" thickBot="1">
      <c r="A104" s="1840" t="s">
        <v>1407</v>
      </c>
      <c r="B104" s="1844" t="s">
        <v>2096</v>
      </c>
      <c r="C104" s="1854"/>
      <c r="D104" s="1854"/>
      <c r="E104" s="1854"/>
      <c r="F104" s="1846">
        <v>0.05</v>
      </c>
    </row>
    <row r="105" spans="1:6" ht="14.25" thickBot="1">
      <c r="A105" s="1840" t="s">
        <v>1407</v>
      </c>
      <c r="B105" s="1844" t="s">
        <v>2097</v>
      </c>
      <c r="C105" s="1854"/>
      <c r="D105" s="1854"/>
      <c r="E105" s="1854"/>
      <c r="F105" s="1846">
        <v>0.05</v>
      </c>
    </row>
    <row r="106" spans="1:6" ht="14.25" thickBot="1">
      <c r="A106" s="1840" t="s">
        <v>1407</v>
      </c>
      <c r="B106" s="1844" t="s">
        <v>2098</v>
      </c>
      <c r="C106" s="1854"/>
      <c r="D106" s="1854"/>
      <c r="E106" s="1854"/>
      <c r="F106" s="1846">
        <v>0.05</v>
      </c>
    </row>
    <row r="107" spans="1:6" ht="24.75" thickBot="1">
      <c r="A107" s="1840" t="s">
        <v>1407</v>
      </c>
      <c r="B107" s="1844" t="s">
        <v>2099</v>
      </c>
      <c r="C107" s="1854"/>
      <c r="D107" s="1854"/>
      <c r="E107" s="1854"/>
      <c r="F107" s="1846">
        <v>0.05</v>
      </c>
    </row>
    <row r="108" spans="1:6" ht="24.75" thickBot="1">
      <c r="A108" s="1840" t="s">
        <v>1407</v>
      </c>
      <c r="B108" s="1844" t="s">
        <v>2100</v>
      </c>
      <c r="C108" s="1854"/>
      <c r="D108" s="1854"/>
      <c r="E108" s="1854"/>
      <c r="F108" s="1846">
        <v>0.05</v>
      </c>
    </row>
    <row r="109" spans="1:6" ht="24.75" thickBot="1">
      <c r="A109" s="1848" t="s">
        <v>1407</v>
      </c>
      <c r="B109" s="1855" t="s">
        <v>2101</v>
      </c>
      <c r="C109" s="1851"/>
      <c r="D109" s="1851"/>
      <c r="E109" s="1851"/>
      <c r="F109" s="1856">
        <v>0.05</v>
      </c>
    </row>
    <row r="110" spans="1:6" ht="14.25" thickBot="1">
      <c r="A110" s="1840" t="s">
        <v>1409</v>
      </c>
      <c r="B110" s="1841" t="s">
        <v>2102</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2103</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2104</v>
      </c>
      <c r="C138" s="1845">
        <v>0.105</v>
      </c>
      <c r="D138" s="1845">
        <v>0.125</v>
      </c>
      <c r="E138" s="1845">
        <v>0.112</v>
      </c>
      <c r="F138" s="1853"/>
    </row>
    <row r="139" spans="1:6" ht="14.25" thickBot="1">
      <c r="A139" s="1840" t="s">
        <v>1409</v>
      </c>
      <c r="B139" s="1844" t="s">
        <v>2105</v>
      </c>
      <c r="C139" s="1845">
        <v>0.127</v>
      </c>
      <c r="D139" s="1845">
        <v>0.127</v>
      </c>
      <c r="E139" s="1845">
        <v>0.122</v>
      </c>
      <c r="F139" s="1846">
        <v>0.13</v>
      </c>
    </row>
    <row r="140" spans="1:6" ht="14.25" thickBot="1">
      <c r="A140" s="1840" t="s">
        <v>1409</v>
      </c>
      <c r="B140" s="1844" t="s">
        <v>2106</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2107</v>
      </c>
      <c r="C144" s="1858">
        <v>0.126</v>
      </c>
      <c r="D144" s="1858">
        <v>0.126</v>
      </c>
      <c r="E144" s="1858">
        <v>0.121</v>
      </c>
      <c r="F144" s="1853"/>
    </row>
    <row r="145" spans="1:6" ht="14.25" thickBot="1">
      <c r="A145" s="1848" t="s">
        <v>1409</v>
      </c>
      <c r="B145" s="1859" t="s">
        <v>2108</v>
      </c>
      <c r="C145" s="1860"/>
      <c r="D145" s="1860"/>
      <c r="E145" s="1860"/>
      <c r="F145" s="1861">
        <v>0.05</v>
      </c>
    </row>
    <row r="146" spans="1:6" ht="24.75" thickBot="1">
      <c r="A146" s="1862" t="s">
        <v>1409</v>
      </c>
      <c r="B146" s="1847" t="s">
        <v>2109</v>
      </c>
      <c r="C146" s="1854"/>
      <c r="D146" s="1854"/>
      <c r="E146" s="1854"/>
      <c r="F146" s="1863">
        <v>0.05</v>
      </c>
    </row>
    <row r="147" spans="1:6" ht="24.75" thickBot="1">
      <c r="A147" s="1840" t="s">
        <v>1409</v>
      </c>
      <c r="B147" s="1844" t="s">
        <v>2110</v>
      </c>
      <c r="C147" s="1854"/>
      <c r="D147" s="1854"/>
      <c r="E147" s="1854"/>
      <c r="F147" s="1846">
        <v>0.05</v>
      </c>
    </row>
    <row r="148" spans="1:6" ht="24.75" thickBot="1">
      <c r="A148" s="1840" t="s">
        <v>1409</v>
      </c>
      <c r="B148" s="1844" t="s">
        <v>2111</v>
      </c>
      <c r="C148" s="1854"/>
      <c r="D148" s="1854"/>
      <c r="E148" s="1854"/>
      <c r="F148" s="1846">
        <v>0.05</v>
      </c>
    </row>
    <row r="149" spans="1:6" ht="24.75" thickBot="1">
      <c r="A149" s="1840" t="s">
        <v>1409</v>
      </c>
      <c r="B149" s="1844" t="s">
        <v>2112</v>
      </c>
      <c r="C149" s="1854"/>
      <c r="D149" s="1854"/>
      <c r="E149" s="1854"/>
      <c r="F149" s="1846">
        <v>0.05</v>
      </c>
    </row>
    <row r="150" spans="1:6" ht="24.75" thickBot="1">
      <c r="A150" s="1840" t="s">
        <v>1409</v>
      </c>
      <c r="B150" s="1844" t="s">
        <v>2113</v>
      </c>
      <c r="C150" s="1854"/>
      <c r="D150" s="1854"/>
      <c r="E150" s="1854"/>
      <c r="F150" s="1846">
        <v>0.05</v>
      </c>
    </row>
    <row r="151" spans="1:6" ht="24.75" thickBot="1">
      <c r="A151" s="1840" t="s">
        <v>1409</v>
      </c>
      <c r="B151" s="1844" t="s">
        <v>2114</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2115</v>
      </c>
      <c r="C153" s="1854"/>
      <c r="D153" s="1854"/>
      <c r="E153" s="1854"/>
      <c r="F153" s="1846">
        <v>0.05</v>
      </c>
    </row>
    <row r="154" spans="1:6" ht="14.25" thickBot="1">
      <c r="A154" s="1840" t="s">
        <v>1409</v>
      </c>
      <c r="B154" s="1844" t="s">
        <v>2116</v>
      </c>
      <c r="C154" s="1854"/>
      <c r="D154" s="1854"/>
      <c r="E154" s="1854"/>
      <c r="F154" s="1846">
        <v>0.05</v>
      </c>
    </row>
    <row r="155" spans="1:6" ht="24.75" thickBot="1">
      <c r="A155" s="1840" t="s">
        <v>1409</v>
      </c>
      <c r="B155" s="1844" t="s">
        <v>2117</v>
      </c>
      <c r="C155" s="1854"/>
      <c r="D155" s="1854"/>
      <c r="E155" s="1854"/>
      <c r="F155" s="1846">
        <v>0.05</v>
      </c>
    </row>
    <row r="156" spans="1:6" ht="24.75" thickBot="1">
      <c r="A156" s="1840" t="s">
        <v>1409</v>
      </c>
      <c r="B156" s="1844" t="s">
        <v>2118</v>
      </c>
      <c r="C156" s="1854"/>
      <c r="D156" s="1854"/>
      <c r="E156" s="1854"/>
      <c r="F156" s="1846">
        <v>0.05</v>
      </c>
    </row>
    <row r="157" spans="1:6" ht="14.25" thickBot="1">
      <c r="A157" s="1848" t="s">
        <v>1409</v>
      </c>
      <c r="B157" s="1855" t="s">
        <v>2119</v>
      </c>
      <c r="C157" s="1851"/>
      <c r="D157" s="1851"/>
      <c r="E157" s="1851"/>
      <c r="F157" s="1856">
        <v>0.05</v>
      </c>
    </row>
    <row r="158" spans="1:6" ht="14.25" thickBot="1">
      <c r="A158" s="1840" t="s">
        <v>1411</v>
      </c>
      <c r="B158" s="1841" t="s">
        <v>2120</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2121</v>
      </c>
      <c r="C171" s="1845">
        <v>0.127</v>
      </c>
      <c r="D171" s="1845">
        <v>0.126</v>
      </c>
      <c r="E171" s="1845">
        <v>0.126</v>
      </c>
      <c r="F171" s="1846">
        <v>0.11799999999999999</v>
      </c>
    </row>
    <row r="172" spans="1:6" ht="14.25" thickBot="1">
      <c r="A172" s="1840" t="s">
        <v>1411</v>
      </c>
      <c r="B172" s="1844" t="s">
        <v>2122</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2123</v>
      </c>
      <c r="C174" s="1845">
        <v>0.13</v>
      </c>
      <c r="D174" s="1845">
        <v>0.13</v>
      </c>
      <c r="E174" s="1845">
        <v>0.13</v>
      </c>
      <c r="F174" s="1846">
        <v>0.13</v>
      </c>
    </row>
    <row r="175" spans="1:6" ht="14.25" thickBot="1">
      <c r="A175" s="1840" t="s">
        <v>1411</v>
      </c>
      <c r="B175" s="1844" t="s">
        <v>2124</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2125</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2126</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2127</v>
      </c>
      <c r="C185" s="1845">
        <v>0.127</v>
      </c>
      <c r="D185" s="1845">
        <v>0.127</v>
      </c>
      <c r="E185" s="1845">
        <v>0.128</v>
      </c>
      <c r="F185" s="1846">
        <v>0.13</v>
      </c>
    </row>
    <row r="186" spans="1:6" ht="24.75" thickBot="1">
      <c r="A186" s="1840" t="s">
        <v>1411</v>
      </c>
      <c r="B186" s="1844" t="s">
        <v>2128</v>
      </c>
      <c r="C186" s="1854"/>
      <c r="D186" s="1854"/>
      <c r="E186" s="1854"/>
      <c r="F186" s="1846">
        <v>0.05</v>
      </c>
    </row>
    <row r="187" spans="1:6" ht="14.25" thickBot="1">
      <c r="A187" s="1840" t="s">
        <v>1411</v>
      </c>
      <c r="B187" s="1844" t="s">
        <v>2129</v>
      </c>
      <c r="C187" s="1854"/>
      <c r="D187" s="1854"/>
      <c r="E187" s="1854"/>
      <c r="F187" s="1846">
        <v>0.05</v>
      </c>
    </row>
    <row r="188" spans="1:6" ht="14.25" thickBot="1">
      <c r="A188" s="1840" t="s">
        <v>1411</v>
      </c>
      <c r="B188" s="1844" t="s">
        <v>2130</v>
      </c>
      <c r="C188" s="1854"/>
      <c r="D188" s="1854"/>
      <c r="E188" s="1854"/>
      <c r="F188" s="1846">
        <v>0.05</v>
      </c>
    </row>
    <row r="189" spans="1:6" ht="24.75" thickBot="1">
      <c r="A189" s="1840" t="s">
        <v>1411</v>
      </c>
      <c r="B189" s="1844" t="s">
        <v>2131</v>
      </c>
      <c r="C189" s="1854"/>
      <c r="D189" s="1854"/>
      <c r="E189" s="1854"/>
      <c r="F189" s="1846">
        <v>0.05</v>
      </c>
    </row>
    <row r="190" spans="1:6" ht="24.75" thickBot="1">
      <c r="A190" s="1840" t="s">
        <v>1411</v>
      </c>
      <c r="B190" s="1844" t="s">
        <v>2132</v>
      </c>
      <c r="C190" s="1854"/>
      <c r="D190" s="1854"/>
      <c r="E190" s="1854"/>
      <c r="F190" s="1846">
        <v>0.05</v>
      </c>
    </row>
    <row r="191" spans="1:6" ht="24.75" thickBot="1">
      <c r="A191" s="1840" t="s">
        <v>1411</v>
      </c>
      <c r="B191" s="1844" t="s">
        <v>2133</v>
      </c>
      <c r="C191" s="1854"/>
      <c r="D191" s="1854"/>
      <c r="E191" s="1854"/>
      <c r="F191" s="1846">
        <v>0.05</v>
      </c>
    </row>
    <row r="192" spans="1:6" ht="24.75" thickBot="1">
      <c r="A192" s="1840" t="s">
        <v>1411</v>
      </c>
      <c r="B192" s="1844" t="s">
        <v>2134</v>
      </c>
      <c r="C192" s="1854"/>
      <c r="D192" s="1854"/>
      <c r="E192" s="1854"/>
      <c r="F192" s="1846">
        <v>0.05</v>
      </c>
    </row>
    <row r="193" spans="1:6" ht="24.75" thickBot="1">
      <c r="A193" s="1840" t="s">
        <v>1411</v>
      </c>
      <c r="B193" s="1844" t="s">
        <v>2135</v>
      </c>
      <c r="C193" s="1854"/>
      <c r="D193" s="1854"/>
      <c r="E193" s="1854"/>
      <c r="F193" s="1846">
        <v>0.05</v>
      </c>
    </row>
    <row r="194" spans="1:6" ht="24.75" thickBot="1">
      <c r="A194" s="1840" t="s">
        <v>1411</v>
      </c>
      <c r="B194" s="1844" t="s">
        <v>2136</v>
      </c>
      <c r="C194" s="1854"/>
      <c r="D194" s="1854"/>
      <c r="E194" s="1854"/>
      <c r="F194" s="1846">
        <v>0.05</v>
      </c>
    </row>
    <row r="195" spans="1:6" ht="14.25" thickBot="1">
      <c r="A195" s="1840" t="s">
        <v>1411</v>
      </c>
      <c r="B195" s="1844" t="s">
        <v>2137</v>
      </c>
      <c r="C195" s="1854"/>
      <c r="D195" s="1854"/>
      <c r="E195" s="1854"/>
      <c r="F195" s="1846">
        <v>0.05</v>
      </c>
    </row>
    <row r="196" spans="1:6" ht="24.75" thickBot="1">
      <c r="A196" s="1840" t="s">
        <v>1411</v>
      </c>
      <c r="B196" s="1844" t="s">
        <v>2138</v>
      </c>
      <c r="C196" s="1854"/>
      <c r="D196" s="1854"/>
      <c r="E196" s="1854"/>
      <c r="F196" s="1846">
        <v>0.05</v>
      </c>
    </row>
    <row r="197" spans="1:6" ht="24.75" thickBot="1">
      <c r="A197" s="1840" t="s">
        <v>1411</v>
      </c>
      <c r="B197" s="1844" t="s">
        <v>2139</v>
      </c>
      <c r="C197" s="1854"/>
      <c r="D197" s="1854"/>
      <c r="E197" s="1854"/>
      <c r="F197" s="1846">
        <v>0.05</v>
      </c>
    </row>
    <row r="198" spans="1:6" ht="24.75" thickBot="1">
      <c r="A198" s="1840" t="s">
        <v>1411</v>
      </c>
      <c r="B198" s="1844" t="s">
        <v>2140</v>
      </c>
      <c r="C198" s="1854"/>
      <c r="D198" s="1854"/>
      <c r="E198" s="1854"/>
      <c r="F198" s="1846">
        <v>0.05</v>
      </c>
    </row>
    <row r="199" spans="1:6" ht="24.75" thickBot="1">
      <c r="A199" s="1840" t="s">
        <v>1411</v>
      </c>
      <c r="B199" s="1844" t="s">
        <v>2141</v>
      </c>
      <c r="C199" s="1854"/>
      <c r="D199" s="1854"/>
      <c r="E199" s="1854"/>
      <c r="F199" s="1846">
        <v>0.05</v>
      </c>
    </row>
    <row r="200" spans="1:6" ht="24.75" thickBot="1">
      <c r="A200" s="1840" t="s">
        <v>1411</v>
      </c>
      <c r="B200" s="1844" t="s">
        <v>2142</v>
      </c>
      <c r="C200" s="1854"/>
      <c r="D200" s="1854"/>
      <c r="E200" s="1854"/>
      <c r="F200" s="1846">
        <v>0.05</v>
      </c>
    </row>
    <row r="201" spans="1:6" ht="24.75" thickBot="1">
      <c r="A201" s="1840" t="s">
        <v>1411</v>
      </c>
      <c r="B201" s="1844" t="s">
        <v>2143</v>
      </c>
      <c r="C201" s="1854"/>
      <c r="D201" s="1854"/>
      <c r="E201" s="1854"/>
      <c r="F201" s="1846">
        <v>0.05</v>
      </c>
    </row>
    <row r="202" spans="1:6" ht="24.75" thickBot="1">
      <c r="A202" s="1840" t="s">
        <v>1411</v>
      </c>
      <c r="B202" s="1844" t="s">
        <v>2144</v>
      </c>
      <c r="C202" s="1854"/>
      <c r="D202" s="1854"/>
      <c r="E202" s="1854"/>
      <c r="F202" s="1846">
        <v>0.05</v>
      </c>
    </row>
    <row r="203" spans="1:6" ht="24.75" thickBot="1">
      <c r="A203" s="1840" t="s">
        <v>1411</v>
      </c>
      <c r="B203" s="1844" t="s">
        <v>2145</v>
      </c>
      <c r="C203" s="1854"/>
      <c r="D203" s="1854"/>
      <c r="E203" s="1854"/>
      <c r="F203" s="1846">
        <v>0.05</v>
      </c>
    </row>
    <row r="204" spans="1:6" ht="14.25" thickBot="1">
      <c r="A204" s="1840" t="s">
        <v>1411</v>
      </c>
      <c r="B204" s="1844" t="s">
        <v>2146</v>
      </c>
      <c r="C204" s="1854"/>
      <c r="D204" s="1854"/>
      <c r="E204" s="1854"/>
      <c r="F204" s="1846">
        <v>0.05</v>
      </c>
    </row>
    <row r="205" spans="1:6" ht="14.25" thickBot="1">
      <c r="A205" s="1848" t="s">
        <v>1411</v>
      </c>
      <c r="B205" s="1855" t="s">
        <v>2147</v>
      </c>
      <c r="C205" s="1851"/>
      <c r="D205" s="1851"/>
      <c r="E205" s="1851"/>
      <c r="F205" s="1856">
        <v>0.05</v>
      </c>
    </row>
    <row r="206" spans="1:6" ht="14.25" thickBot="1">
      <c r="A206" s="1840" t="s">
        <v>1413</v>
      </c>
      <c r="B206" s="1841" t="s">
        <v>2148</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2149</v>
      </c>
      <c r="C210" s="1845">
        <v>0.15</v>
      </c>
      <c r="D210" s="1845">
        <v>0.15</v>
      </c>
      <c r="E210" s="1845">
        <v>0.15</v>
      </c>
      <c r="F210" s="1846">
        <v>0.13800000000000001</v>
      </c>
    </row>
    <row r="211" spans="1:6" ht="14.25" thickBot="1">
      <c r="A211" s="1840" t="s">
        <v>1413</v>
      </c>
      <c r="B211" s="1844" t="s">
        <v>2150</v>
      </c>
      <c r="C211" s="1845">
        <v>0.13700000000000001</v>
      </c>
      <c r="D211" s="1845">
        <v>0.13500000000000001</v>
      </c>
      <c r="E211" s="1845">
        <v>0.13600000000000001</v>
      </c>
      <c r="F211" s="1846">
        <v>0.1</v>
      </c>
    </row>
    <row r="212" spans="1:6" ht="14.25" thickBot="1">
      <c r="A212" s="1840" t="s">
        <v>1413</v>
      </c>
      <c r="B212" s="1844" t="s">
        <v>2151</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2152</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2153</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2154</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2155</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2156</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2157</v>
      </c>
      <c r="C231" s="1845">
        <v>0.128</v>
      </c>
      <c r="D231" s="1845">
        <v>0.125</v>
      </c>
      <c r="E231" s="1845">
        <v>0.13200000000000001</v>
      </c>
      <c r="F231" s="1853"/>
    </row>
    <row r="232" spans="1:6" ht="14.25" thickBot="1">
      <c r="A232" s="1840" t="s">
        <v>1413</v>
      </c>
      <c r="B232" s="1844" t="s">
        <v>2158</v>
      </c>
      <c r="C232" s="1845">
        <v>0.14499999999999999</v>
      </c>
      <c r="D232" s="1845">
        <v>0.14399999999999999</v>
      </c>
      <c r="E232" s="1845">
        <v>0.14599999999999999</v>
      </c>
      <c r="F232" s="1846">
        <v>0.13800000000000001</v>
      </c>
    </row>
    <row r="233" spans="1:6" ht="14.25" thickBot="1">
      <c r="A233" s="1840" t="s">
        <v>1413</v>
      </c>
      <c r="B233" s="1844" t="s">
        <v>2159</v>
      </c>
      <c r="C233" s="1845">
        <v>0.14499999999999999</v>
      </c>
      <c r="D233" s="1845">
        <v>0.14299999999999999</v>
      </c>
      <c r="E233" s="1845">
        <v>0.14199999999999999</v>
      </c>
      <c r="F233" s="1853"/>
    </row>
    <row r="234" spans="1:6" ht="14.25" thickBot="1">
      <c r="A234" s="1840" t="s">
        <v>1413</v>
      </c>
      <c r="B234" s="1844" t="s">
        <v>2160</v>
      </c>
      <c r="C234" s="1845">
        <v>0.14000000000000001</v>
      </c>
      <c r="D234" s="1845">
        <v>0.14000000000000001</v>
      </c>
      <c r="E234" s="1845">
        <v>0.14399999999999999</v>
      </c>
      <c r="F234" s="1853"/>
    </row>
    <row r="235" spans="1:6" ht="14.25" thickBot="1">
      <c r="A235" s="1840" t="s">
        <v>1413</v>
      </c>
      <c r="B235" s="1844" t="s">
        <v>2161</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2162</v>
      </c>
      <c r="C237" s="1854"/>
      <c r="D237" s="1854"/>
      <c r="E237" s="1854"/>
      <c r="F237" s="1846">
        <v>0.05</v>
      </c>
    </row>
    <row r="238" spans="1:6" ht="24.75" thickBot="1">
      <c r="A238" s="1840" t="s">
        <v>1413</v>
      </c>
      <c r="B238" s="1844" t="s">
        <v>2163</v>
      </c>
      <c r="C238" s="1854"/>
      <c r="D238" s="1854"/>
      <c r="E238" s="1854"/>
      <c r="F238" s="1846">
        <v>0.05</v>
      </c>
    </row>
    <row r="239" spans="1:6" ht="24.75" thickBot="1">
      <c r="A239" s="1840" t="s">
        <v>1413</v>
      </c>
      <c r="B239" s="1844" t="s">
        <v>2164</v>
      </c>
      <c r="C239" s="1854"/>
      <c r="D239" s="1854"/>
      <c r="E239" s="1854"/>
      <c r="F239" s="1846">
        <v>0.05</v>
      </c>
    </row>
    <row r="240" spans="1:6" ht="24.75" thickBot="1">
      <c r="A240" s="1840" t="s">
        <v>1413</v>
      </c>
      <c r="B240" s="1844" t="s">
        <v>2165</v>
      </c>
      <c r="C240" s="1854"/>
      <c r="D240" s="1854"/>
      <c r="E240" s="1854"/>
      <c r="F240" s="1846">
        <v>0.05</v>
      </c>
    </row>
    <row r="241" spans="1:6" ht="24.75" thickBot="1">
      <c r="A241" s="1840" t="s">
        <v>1413</v>
      </c>
      <c r="B241" s="1844" t="s">
        <v>2166</v>
      </c>
      <c r="C241" s="1854"/>
      <c r="D241" s="1854"/>
      <c r="E241" s="1854"/>
      <c r="F241" s="1846">
        <v>0.05</v>
      </c>
    </row>
    <row r="242" spans="1:6" ht="24.75" thickBot="1">
      <c r="A242" s="1840" t="s">
        <v>1413</v>
      </c>
      <c r="B242" s="1844" t="s">
        <v>2167</v>
      </c>
      <c r="C242" s="1854"/>
      <c r="D242" s="1854"/>
      <c r="E242" s="1854"/>
      <c r="F242" s="1846">
        <v>0.05</v>
      </c>
    </row>
    <row r="243" spans="1:6" ht="24.75" thickBot="1">
      <c r="A243" s="1840" t="s">
        <v>1413</v>
      </c>
      <c r="B243" s="1844" t="s">
        <v>2168</v>
      </c>
      <c r="C243" s="1854"/>
      <c r="D243" s="1854"/>
      <c r="E243" s="1854"/>
      <c r="F243" s="1846">
        <v>0.05</v>
      </c>
    </row>
    <row r="244" spans="1:6" ht="24.75" thickBot="1">
      <c r="A244" s="1848" t="s">
        <v>1413</v>
      </c>
      <c r="B244" s="1855" t="s">
        <v>2169</v>
      </c>
      <c r="C244" s="1851"/>
      <c r="D244" s="1851"/>
      <c r="E244" s="1851"/>
      <c r="F244" s="1856">
        <v>0.05</v>
      </c>
    </row>
    <row r="245" spans="1:6" ht="14.25" thickBot="1">
      <c r="A245" s="1840" t="s">
        <v>1415</v>
      </c>
      <c r="B245" s="1841" t="s">
        <v>2170</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2171</v>
      </c>
      <c r="C247" s="1845">
        <v>0.15</v>
      </c>
      <c r="D247" s="1845">
        <v>0.15</v>
      </c>
      <c r="E247" s="1845">
        <v>0.15</v>
      </c>
      <c r="F247" s="1846">
        <v>0.15</v>
      </c>
    </row>
    <row r="248" spans="1:6" ht="14.25" thickBot="1">
      <c r="A248" s="1840" t="s">
        <v>1415</v>
      </c>
      <c r="B248" s="1844" t="s">
        <v>2172</v>
      </c>
      <c r="C248" s="1845">
        <v>0.15</v>
      </c>
      <c r="D248" s="1845">
        <v>0.15</v>
      </c>
      <c r="E248" s="1845">
        <v>0.15</v>
      </c>
      <c r="F248" s="1846">
        <v>0.14000000000000001</v>
      </c>
    </row>
    <row r="249" spans="1:6" ht="14.25" thickBot="1">
      <c r="A249" s="1840" t="s">
        <v>1415</v>
      </c>
      <c r="B249" s="1844" t="s">
        <v>2173</v>
      </c>
      <c r="C249" s="1845">
        <v>0.15</v>
      </c>
      <c r="D249" s="1845">
        <v>0.14899999999999999</v>
      </c>
      <c r="E249" s="1845">
        <v>0.15</v>
      </c>
      <c r="F249" s="1846">
        <v>0.1</v>
      </c>
    </row>
    <row r="250" spans="1:6" ht="14.25" thickBot="1">
      <c r="A250" s="1840" t="s">
        <v>1415</v>
      </c>
      <c r="B250" s="1844" t="s">
        <v>2174</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2175</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2176</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2177</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2178</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2179</v>
      </c>
      <c r="C273" s="1845">
        <v>0.14199999999999999</v>
      </c>
      <c r="D273" s="1845">
        <v>0.14299999999999999</v>
      </c>
      <c r="E273" s="1845">
        <v>0.15</v>
      </c>
      <c r="F273" s="1846">
        <v>0.1</v>
      </c>
    </row>
    <row r="274" spans="1:6" ht="14.25" thickBot="1">
      <c r="A274" s="1840" t="s">
        <v>1415</v>
      </c>
      <c r="B274" s="1844" t="s">
        <v>2180</v>
      </c>
      <c r="C274" s="1845">
        <v>0.14799999999999999</v>
      </c>
      <c r="D274" s="1845">
        <v>0.14799999999999999</v>
      </c>
      <c r="E274" s="1845">
        <v>0.15</v>
      </c>
      <c r="F274" s="1846">
        <v>6.7000000000000004E-2</v>
      </c>
    </row>
    <row r="275" spans="1:6" ht="14.25" thickBot="1">
      <c r="A275" s="1840" t="s">
        <v>1415</v>
      </c>
      <c r="B275" s="1844" t="s">
        <v>2181</v>
      </c>
      <c r="C275" s="1845">
        <v>0.15</v>
      </c>
      <c r="D275" s="1845">
        <v>0.15</v>
      </c>
      <c r="E275" s="1845">
        <v>0.15</v>
      </c>
      <c r="F275" s="1846">
        <v>0.15</v>
      </c>
    </row>
    <row r="276" spans="1:6" ht="14.25" thickBot="1">
      <c r="A276" s="1840" t="s">
        <v>1415</v>
      </c>
      <c r="B276" s="1844" t="s">
        <v>2182</v>
      </c>
      <c r="C276" s="1845">
        <v>0.14499999999999999</v>
      </c>
      <c r="D276" s="1845">
        <v>0.14299999999999999</v>
      </c>
      <c r="E276" s="1845">
        <v>0.15</v>
      </c>
      <c r="F276" s="1846">
        <v>5.8999999999999997E-2</v>
      </c>
    </row>
    <row r="277" spans="1:6" ht="14.25" thickBot="1">
      <c r="A277" s="1840" t="s">
        <v>1415</v>
      </c>
      <c r="B277" s="1844" t="s">
        <v>2183</v>
      </c>
      <c r="C277" s="1845">
        <v>0.15</v>
      </c>
      <c r="D277" s="1845">
        <v>0.15</v>
      </c>
      <c r="E277" s="1845">
        <v>0.15</v>
      </c>
      <c r="F277" s="1846">
        <v>0.121</v>
      </c>
    </row>
    <row r="278" spans="1:6" ht="14.25" thickBot="1">
      <c r="A278" s="1840" t="s">
        <v>1415</v>
      </c>
      <c r="B278" s="1844" t="s">
        <v>2184</v>
      </c>
      <c r="C278" s="1845">
        <v>0.15</v>
      </c>
      <c r="D278" s="1845">
        <v>0.15</v>
      </c>
      <c r="E278" s="1845">
        <v>0.15</v>
      </c>
      <c r="F278" s="1846">
        <v>0.13800000000000001</v>
      </c>
    </row>
    <row r="279" spans="1:6" ht="24.75" thickBot="1">
      <c r="A279" s="1840" t="s">
        <v>1415</v>
      </c>
      <c r="B279" s="1844" t="s">
        <v>2185</v>
      </c>
      <c r="C279" s="1854"/>
      <c r="D279" s="1854"/>
      <c r="E279" s="1854"/>
      <c r="F279" s="1846">
        <v>0.05</v>
      </c>
    </row>
    <row r="280" spans="1:6" ht="24.75" thickBot="1">
      <c r="A280" s="1840" t="s">
        <v>1415</v>
      </c>
      <c r="B280" s="1844" t="s">
        <v>2186</v>
      </c>
      <c r="C280" s="1854"/>
      <c r="D280" s="1854"/>
      <c r="E280" s="1854"/>
      <c r="F280" s="1846">
        <v>0.05</v>
      </c>
    </row>
    <row r="281" spans="1:6" ht="24.75" thickBot="1">
      <c r="A281" s="1840" t="s">
        <v>1415</v>
      </c>
      <c r="B281" s="1844" t="s">
        <v>2187</v>
      </c>
      <c r="C281" s="1854"/>
      <c r="D281" s="1854"/>
      <c r="E281" s="1854"/>
      <c r="F281" s="1846">
        <v>0.05</v>
      </c>
    </row>
    <row r="282" spans="1:6" ht="24.75" thickBot="1">
      <c r="A282" s="1840" t="s">
        <v>1415</v>
      </c>
      <c r="B282" s="1844" t="s">
        <v>2188</v>
      </c>
      <c r="C282" s="1854"/>
      <c r="D282" s="1854"/>
      <c r="E282" s="1854"/>
      <c r="F282" s="1846">
        <v>0.05</v>
      </c>
    </row>
    <row r="283" spans="1:6" ht="24.75" thickBot="1">
      <c r="A283" s="1840" t="s">
        <v>1415</v>
      </c>
      <c r="B283" s="1844" t="s">
        <v>2189</v>
      </c>
      <c r="C283" s="1854"/>
      <c r="D283" s="1854"/>
      <c r="E283" s="1854"/>
      <c r="F283" s="1846">
        <v>0.05</v>
      </c>
    </row>
    <row r="284" spans="1:6" ht="24.75" thickBot="1">
      <c r="A284" s="1840" t="s">
        <v>1415</v>
      </c>
      <c r="B284" s="1844" t="s">
        <v>2190</v>
      </c>
      <c r="C284" s="1854"/>
      <c r="D284" s="1854"/>
      <c r="E284" s="1854"/>
      <c r="F284" s="1846">
        <v>0.05</v>
      </c>
    </row>
    <row r="285" spans="1:6" ht="24.75" thickBot="1">
      <c r="A285" s="1840" t="s">
        <v>1415</v>
      </c>
      <c r="B285" s="1844" t="s">
        <v>2191</v>
      </c>
      <c r="C285" s="1854"/>
      <c r="D285" s="1854"/>
      <c r="E285" s="1854"/>
      <c r="F285" s="1846">
        <v>0.05</v>
      </c>
    </row>
    <row r="286" spans="1:6" ht="24.75" thickBot="1">
      <c r="A286" s="1840" t="s">
        <v>1415</v>
      </c>
      <c r="B286" s="1844" t="s">
        <v>2192</v>
      </c>
      <c r="C286" s="1854"/>
      <c r="D286" s="1854"/>
      <c r="E286" s="1854"/>
      <c r="F286" s="1846">
        <v>0.05</v>
      </c>
    </row>
    <row r="287" spans="1:6" ht="24.75" thickBot="1">
      <c r="A287" s="1840" t="s">
        <v>1415</v>
      </c>
      <c r="B287" s="1844" t="s">
        <v>2193</v>
      </c>
      <c r="C287" s="1854"/>
      <c r="D287" s="1854"/>
      <c r="E287" s="1854"/>
      <c r="F287" s="1846">
        <v>0.05</v>
      </c>
    </row>
    <row r="288" spans="1:6" ht="24.75" thickBot="1">
      <c r="A288" s="1840" t="s">
        <v>1415</v>
      </c>
      <c r="B288" s="1844" t="s">
        <v>2194</v>
      </c>
      <c r="C288" s="1854"/>
      <c r="D288" s="1854"/>
      <c r="E288" s="1854"/>
      <c r="F288" s="1846">
        <v>0.05</v>
      </c>
    </row>
    <row r="289" spans="1:6" ht="24.75" thickBot="1">
      <c r="A289" s="1848" t="s">
        <v>1415</v>
      </c>
      <c r="B289" s="1855" t="s">
        <v>2195</v>
      </c>
      <c r="C289" s="1851"/>
      <c r="D289" s="1851"/>
      <c r="E289" s="1851"/>
      <c r="F289" s="1856">
        <v>0.05</v>
      </c>
    </row>
    <row r="290" spans="1:6" ht="14.25" thickBot="1">
      <c r="A290" s="1840" t="s">
        <v>1419</v>
      </c>
      <c r="B290" s="1841" t="s">
        <v>2196</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2197</v>
      </c>
      <c r="C292" s="1845">
        <v>0.15</v>
      </c>
      <c r="D292" s="1845">
        <v>0.15</v>
      </c>
      <c r="E292" s="1845">
        <v>0.15</v>
      </c>
      <c r="F292" s="1846">
        <v>0.14699999999999999</v>
      </c>
    </row>
    <row r="293" spans="1:6" ht="14.25" thickBot="1">
      <c r="A293" s="1840" t="s">
        <v>1419</v>
      </c>
      <c r="B293" s="1844" t="s">
        <v>2198</v>
      </c>
      <c r="C293" s="1854"/>
      <c r="D293" s="1854"/>
      <c r="E293" s="1854"/>
      <c r="F293" s="1846">
        <v>0.1</v>
      </c>
    </row>
    <row r="294" spans="1:6" ht="14.25" thickBot="1">
      <c r="A294" s="1840" t="s">
        <v>1419</v>
      </c>
      <c r="B294" s="1844" t="s">
        <v>2199</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2200</v>
      </c>
      <c r="C296" s="1845">
        <v>0.15</v>
      </c>
      <c r="D296" s="1845">
        <v>0.15</v>
      </c>
      <c r="E296" s="1845">
        <v>0.15</v>
      </c>
      <c r="F296" s="1846">
        <v>0.15</v>
      </c>
    </row>
    <row r="297" spans="1:6" ht="14.25" thickBot="1">
      <c r="A297" s="1840" t="s">
        <v>1419</v>
      </c>
      <c r="B297" s="1844" t="s">
        <v>2201</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2202</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2203</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2204</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2205</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2206</v>
      </c>
      <c r="C310" s="1845">
        <v>0.15</v>
      </c>
      <c r="D310" s="1845">
        <v>0.15</v>
      </c>
      <c r="E310" s="1845">
        <v>0.15</v>
      </c>
      <c r="F310" s="1846">
        <v>0.13700000000000001</v>
      </c>
    </row>
    <row r="311" spans="1:6" ht="14.25" thickBot="1">
      <c r="A311" s="1840" t="s">
        <v>1419</v>
      </c>
      <c r="B311" s="1844" t="s">
        <v>2207</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2208</v>
      </c>
      <c r="C313" s="1845">
        <v>0.15</v>
      </c>
      <c r="D313" s="1845">
        <v>0.15</v>
      </c>
      <c r="E313" s="1845">
        <v>0.15</v>
      </c>
      <c r="F313" s="1846">
        <v>0.15</v>
      </c>
    </row>
    <row r="314" spans="1:6" ht="24.75" thickBot="1">
      <c r="A314" s="1840" t="s">
        <v>1419</v>
      </c>
      <c r="B314" s="1844" t="s">
        <v>2209</v>
      </c>
      <c r="C314" s="1854"/>
      <c r="D314" s="1854"/>
      <c r="E314" s="1854"/>
      <c r="F314" s="1846">
        <v>0.05</v>
      </c>
    </row>
    <row r="315" spans="1:6" ht="24.75" thickBot="1">
      <c r="A315" s="1840" t="s">
        <v>1419</v>
      </c>
      <c r="B315" s="1844" t="s">
        <v>2210</v>
      </c>
      <c r="C315" s="1854"/>
      <c r="D315" s="1854"/>
      <c r="E315" s="1854"/>
      <c r="F315" s="1846">
        <v>0.05</v>
      </c>
    </row>
    <row r="316" spans="1:6" ht="24.75" thickBot="1">
      <c r="A316" s="1848" t="s">
        <v>1419</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1107</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1176</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1196</v>
      </c>
      <c r="C328" s="1845">
        <v>0.15</v>
      </c>
      <c r="D328" s="1845">
        <v>0.15</v>
      </c>
      <c r="E328" s="1845">
        <v>0.15</v>
      </c>
      <c r="F328" s="1846">
        <v>0.14099999999999999</v>
      </c>
    </row>
    <row r="329" spans="1:6" ht="14.25" thickBot="1">
      <c r="A329" s="1840" t="s">
        <v>2212</v>
      </c>
      <c r="B329" s="1844" t="s">
        <v>1206</v>
      </c>
      <c r="C329" s="1845">
        <v>0.15</v>
      </c>
      <c r="D329" s="1845">
        <v>0.15</v>
      </c>
      <c r="E329" s="1845">
        <v>0.15</v>
      </c>
      <c r="F329" s="1846">
        <v>0.15</v>
      </c>
    </row>
    <row r="330" spans="1:6" ht="14.25" thickBot="1">
      <c r="A330" s="1840" t="s">
        <v>2212</v>
      </c>
      <c r="B330" s="1844" t="s">
        <v>1216</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1236</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1256</v>
      </c>
      <c r="C334" s="1845">
        <v>0.15</v>
      </c>
      <c r="D334" s="1845">
        <v>0.15</v>
      </c>
      <c r="E334" s="1845">
        <v>0.15</v>
      </c>
      <c r="F334" s="1846">
        <v>0.15</v>
      </c>
    </row>
    <row r="335" spans="1:6" ht="14.25" thickBot="1">
      <c r="A335" s="1840" t="s">
        <v>2212</v>
      </c>
      <c r="B335" s="1844" t="s">
        <v>1266</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1284</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D38" sqref="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78" t="s">
        <v>2571</v>
      </c>
      <c r="C1" s="3478"/>
      <c r="D1" s="3478"/>
      <c r="E1" s="3478"/>
      <c r="F1" s="3478"/>
      <c r="G1" s="3477" t="s">
        <v>2572</v>
      </c>
      <c r="H1" s="3477"/>
      <c r="I1" s="3477"/>
      <c r="J1" s="3477"/>
      <c r="K1" s="3477"/>
      <c r="L1" s="3477"/>
      <c r="N1" s="3477" t="s">
        <v>2573</v>
      </c>
      <c r="O1" s="3477"/>
      <c r="P1" s="3477"/>
      <c r="Q1" s="3477"/>
      <c r="R1" s="2618"/>
      <c r="S1" s="3477" t="s">
        <v>2574</v>
      </c>
      <c r="T1" s="3477"/>
      <c r="U1" s="3477"/>
      <c r="V1" s="3477"/>
      <c r="X1" s="3476" t="s">
        <v>2634</v>
      </c>
      <c r="Y1" s="3477"/>
      <c r="Z1" s="3477"/>
      <c r="AA1" s="3477"/>
      <c r="AB1" s="3477"/>
      <c r="AD1" s="3476" t="s">
        <v>2638</v>
      </c>
      <c r="AE1" s="3477"/>
      <c r="AF1" s="3477"/>
      <c r="AG1" s="3477"/>
      <c r="AH1" s="3477"/>
    </row>
    <row r="2" spans="1:34" s="2719" customFormat="1" ht="14.25" thickBot="1">
      <c r="B2" s="2727" t="s">
        <v>2575</v>
      </c>
      <c r="C2" s="2727" t="s">
        <v>2636</v>
      </c>
      <c r="D2" s="2720" t="s">
        <v>1644</v>
      </c>
      <c r="E2" s="2720" t="s">
        <v>1947</v>
      </c>
      <c r="F2" s="2727" t="s">
        <v>2637</v>
      </c>
      <c r="G2" s="2723"/>
      <c r="H2" s="2722"/>
      <c r="I2" s="2727" t="s">
        <v>2938</v>
      </c>
      <c r="J2" s="2720" t="s">
        <v>2940</v>
      </c>
      <c r="K2" s="2720" t="s">
        <v>2941</v>
      </c>
      <c r="L2" s="2727" t="s">
        <v>2942</v>
      </c>
      <c r="N2" s="2727" t="s">
        <v>2575</v>
      </c>
      <c r="O2" s="2720" t="s">
        <v>2939</v>
      </c>
      <c r="P2" s="2720" t="s">
        <v>1947</v>
      </c>
      <c r="Q2" s="2727" t="s">
        <v>2637</v>
      </c>
      <c r="R2" s="2721"/>
      <c r="S2" s="2727" t="s">
        <v>2575</v>
      </c>
      <c r="T2" s="2720" t="s">
        <v>2939</v>
      </c>
      <c r="U2" s="2720" t="s">
        <v>1947</v>
      </c>
      <c r="V2" s="2727" t="s">
        <v>2637</v>
      </c>
      <c r="X2" s="2727" t="s">
        <v>2575</v>
      </c>
      <c r="Y2" s="2727" t="s">
        <v>2636</v>
      </c>
      <c r="Z2" s="2720" t="s">
        <v>1644</v>
      </c>
      <c r="AA2" s="2720" t="s">
        <v>1947</v>
      </c>
      <c r="AB2" s="2727" t="s">
        <v>2637</v>
      </c>
      <c r="AD2" s="2727" t="s">
        <v>2575</v>
      </c>
      <c r="AE2" s="2727" t="s">
        <v>2636</v>
      </c>
      <c r="AF2" s="2720" t="s">
        <v>1644</v>
      </c>
      <c r="AG2" s="2720" t="s">
        <v>1947</v>
      </c>
      <c r="AH2" s="2727" t="s">
        <v>2637</v>
      </c>
    </row>
    <row r="3" spans="1:34" s="3080" customFormat="1" ht="14.25">
      <c r="A3" s="3092" t="s">
        <v>2951</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c r="A5" s="3062" t="s">
        <v>2980</v>
      </c>
      <c r="B5" s="2751">
        <f t="shared" ref="B5:C7" si="2">B6*(1+N5)</f>
        <v>477.19997390765138</v>
      </c>
      <c r="C5" s="2751">
        <f t="shared" si="2"/>
        <v>351.84874729536665</v>
      </c>
      <c r="D5" s="2751">
        <f t="shared" ref="D5:D12" si="3">C5</f>
        <v>351.84874729536665</v>
      </c>
      <c r="E5" s="2751">
        <f t="shared" ref="E5:E13" si="4">E6*(1+P5)</f>
        <v>682.29768951465201</v>
      </c>
      <c r="F5" s="2751">
        <f t="shared" ref="F5:F13" si="5">F6*(1+Q5)</f>
        <v>315.26985675409043</v>
      </c>
      <c r="G5" s="2718">
        <v>2020</v>
      </c>
      <c r="H5" s="3063">
        <v>1</v>
      </c>
      <c r="I5" s="3077">
        <v>0</v>
      </c>
      <c r="J5" s="3077">
        <v>0</v>
      </c>
      <c r="K5" s="3077">
        <v>0</v>
      </c>
      <c r="L5" s="3077">
        <v>0</v>
      </c>
      <c r="N5" s="2725">
        <f t="shared" ref="N5:Q12" si="6">I5/100</f>
        <v>0</v>
      </c>
      <c r="O5" s="2725">
        <f t="shared" si="6"/>
        <v>0</v>
      </c>
      <c r="P5" s="2725">
        <f t="shared" si="6"/>
        <v>0</v>
      </c>
      <c r="Q5" s="2725">
        <f t="shared" si="6"/>
        <v>0</v>
      </c>
      <c r="R5" s="3065"/>
      <c r="S5" s="3066"/>
      <c r="T5" s="3065"/>
      <c r="U5" s="3065"/>
      <c r="V5" s="3065"/>
      <c r="W5" s="3090" t="s">
        <v>2952</v>
      </c>
      <c r="X5" s="3067">
        <f>ROUND(IF(项目基本情况!B8="出让",SUMPRODUCT(PRODUCT(1+N5:N$29)),SUMPRODUCT(PRODUCT(1+N5:N$28))),4)</f>
        <v>1.5516000000000001</v>
      </c>
      <c r="Y5" s="3067">
        <f>ROUND(IF(项目基本情况!B8="出让",SUMPRODUCT(PRODUCT(1+O5:O$29)),SUMPRODUCT(PRODUCT(1+O5:O$28))),4)</f>
        <v>1.3649</v>
      </c>
      <c r="Z5" s="3067">
        <f t="shared" ref="Z5:Z13" si="7">Y5</f>
        <v>1.3649</v>
      </c>
      <c r="AA5" s="3067">
        <f>ROUND(IF(项目基本情况!B8="出让",SUMPRODUCT(PRODUCT(1+P5:P$29)),SUMPRODUCT(PRODUCT(1+P5:P$28))),4)</f>
        <v>1.6133999999999999</v>
      </c>
      <c r="AB5" s="3067">
        <f>ROUND(IF(项目基本情况!B8="出让",SUMPRODUCT(PRODUCT(1+Q5:Q$29)),SUMPRODUCT(PRODUCT(1+Q5:Q$28))),4)</f>
        <v>1.3713</v>
      </c>
      <c r="AD5" s="3068">
        <f>ROUND(AVERAGE(I5:I$29)/100,4)</f>
        <v>1.9E-2</v>
      </c>
      <c r="AE5" s="3068">
        <f>ROUND(AVERAGE(J5:J$29)/100,4)</f>
        <v>1.35E-2</v>
      </c>
      <c r="AF5" s="3068">
        <f t="shared" ref="AF5:AF13" si="8">AE5</f>
        <v>1.35E-2</v>
      </c>
      <c r="AG5" s="3068">
        <f>ROUND(AVERAGE(K5:K$29)/100,4)</f>
        <v>2.0799999999999999E-2</v>
      </c>
      <c r="AH5" s="3068">
        <f>ROUND(AVERAGE(L5:L$29)/100,4)</f>
        <v>1.3299999999999999E-2</v>
      </c>
    </row>
    <row r="6" spans="1:34" s="2724" customFormat="1">
      <c r="A6" s="2619" t="s">
        <v>2976</v>
      </c>
      <c r="B6" s="2632">
        <f t="shared" si="2"/>
        <v>477.19997390765138</v>
      </c>
      <c r="C6" s="2632">
        <f t="shared" si="2"/>
        <v>351.84874729536665</v>
      </c>
      <c r="D6" s="2632">
        <f t="shared" si="3"/>
        <v>351.84874729536665</v>
      </c>
      <c r="E6" s="2632">
        <f t="shared" si="4"/>
        <v>682.29768951465201</v>
      </c>
      <c r="F6" s="2632">
        <f t="shared" si="5"/>
        <v>315.26985675409043</v>
      </c>
      <c r="G6" s="2718">
        <v>2019</v>
      </c>
      <c r="H6" s="2622">
        <v>4</v>
      </c>
      <c r="I6" s="2622">
        <v>0</v>
      </c>
      <c r="J6" s="2622">
        <v>0</v>
      </c>
      <c r="K6" s="2622">
        <v>0</v>
      </c>
      <c r="L6" s="2633">
        <v>0</v>
      </c>
      <c r="M6" s="2626"/>
      <c r="N6" s="2627">
        <f t="shared" si="6"/>
        <v>0</v>
      </c>
      <c r="O6" s="2628">
        <f t="shared" si="6"/>
        <v>0</v>
      </c>
      <c r="P6" s="2628">
        <f t="shared" si="6"/>
        <v>0</v>
      </c>
      <c r="Q6" s="2628">
        <f t="shared" si="6"/>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si="7"/>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si="8"/>
        <v>1.41E-2</v>
      </c>
      <c r="AG6" s="2637">
        <f>ROUND(AVERAGE(K6:K$29)/100,4)</f>
        <v>2.1600000000000001E-2</v>
      </c>
      <c r="AH6" s="2637">
        <f>ROUND(AVERAGE(L6:L$29)/100,4)</f>
        <v>1.38E-2</v>
      </c>
    </row>
    <row r="7" spans="1:34" s="2724" customFormat="1" ht="13.5" thickBot="1">
      <c r="A7" s="2619" t="s">
        <v>2975</v>
      </c>
      <c r="B7" s="2632">
        <f t="shared" si="2"/>
        <v>477.19997390765138</v>
      </c>
      <c r="C7" s="2632">
        <f t="shared" si="2"/>
        <v>351.84874729536665</v>
      </c>
      <c r="D7" s="2632">
        <f t="shared" si="3"/>
        <v>351.84874729536665</v>
      </c>
      <c r="E7" s="2632">
        <f t="shared" si="4"/>
        <v>682.29768951465201</v>
      </c>
      <c r="F7" s="2632">
        <f t="shared" si="5"/>
        <v>315.26985675409043</v>
      </c>
      <c r="G7" s="2718">
        <v>2019</v>
      </c>
      <c r="H7" s="2622">
        <v>3</v>
      </c>
      <c r="I7" s="2622">
        <v>0.61</v>
      </c>
      <c r="J7" s="2622">
        <v>0.67</v>
      </c>
      <c r="K7" s="2622">
        <v>0.6</v>
      </c>
      <c r="L7" s="2633">
        <v>1.03</v>
      </c>
      <c r="M7" s="2626"/>
      <c r="N7" s="2627">
        <f t="shared" si="6"/>
        <v>6.0999999999999995E-3</v>
      </c>
      <c r="O7" s="2628">
        <f t="shared" si="6"/>
        <v>6.7000000000000002E-3</v>
      </c>
      <c r="P7" s="2628">
        <f t="shared" si="6"/>
        <v>6.0000000000000001E-3</v>
      </c>
      <c r="Q7" s="2628">
        <f t="shared" si="6"/>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si="7"/>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si="8"/>
        <v>1.47E-2</v>
      </c>
      <c r="AG7" s="2637">
        <f>ROUND(AVERAGE(K7:K$29)/100,4)</f>
        <v>2.2599999999999999E-2</v>
      </c>
      <c r="AH7" s="2637">
        <f>ROUND(AVERAGE(L7:L$29)/100,4)</f>
        <v>1.44E-2</v>
      </c>
    </row>
    <row r="8" spans="1:34" s="2724" customFormat="1">
      <c r="A8" s="2619" t="s">
        <v>2972</v>
      </c>
      <c r="B8" s="2632">
        <f t="shared" ref="B8:B13" si="9">B9*(1+N8)</f>
        <v>474.30670301923408</v>
      </c>
      <c r="C8" s="2632">
        <f t="shared" ref="C8:C13" si="10">C9*(1+O8)</f>
        <v>349.50705005996491</v>
      </c>
      <c r="D8" s="2632">
        <f t="shared" si="3"/>
        <v>349.50705005996491</v>
      </c>
      <c r="E8" s="2632">
        <f t="shared" si="4"/>
        <v>678.22831959706957</v>
      </c>
      <c r="F8" s="2632">
        <f t="shared" si="5"/>
        <v>312.0556832169558</v>
      </c>
      <c r="G8" s="2718">
        <v>2019</v>
      </c>
      <c r="H8" s="2620">
        <v>2</v>
      </c>
      <c r="I8" s="2620">
        <v>1.53</v>
      </c>
      <c r="J8" s="2620">
        <v>1.01</v>
      </c>
      <c r="K8" s="2620">
        <v>1.62</v>
      </c>
      <c r="L8" s="2621">
        <v>1.25</v>
      </c>
      <c r="M8" s="2626"/>
      <c r="N8" s="2627">
        <f t="shared" si="6"/>
        <v>1.5300000000000001E-2</v>
      </c>
      <c r="O8" s="2628">
        <f t="shared" si="6"/>
        <v>1.01E-2</v>
      </c>
      <c r="P8" s="2628">
        <f t="shared" si="6"/>
        <v>1.6200000000000003E-2</v>
      </c>
      <c r="Q8" s="2628">
        <f t="shared" si="6"/>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si="7"/>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si="8"/>
        <v>1.4999999999999999E-2</v>
      </c>
      <c r="AG8" s="2637">
        <f>ROUND(AVERAGE(K8:K$29)/100,4)</f>
        <v>2.3300000000000001E-2</v>
      </c>
      <c r="AH8" s="2637">
        <f>ROUND(AVERAGE(L8:L$29)/100,4)</f>
        <v>1.46E-2</v>
      </c>
    </row>
    <row r="9" spans="1:34" s="2724" customFormat="1" ht="13.5" thickBot="1">
      <c r="A9" s="2619" t="s">
        <v>2971</v>
      </c>
      <c r="B9" s="2632">
        <f t="shared" si="9"/>
        <v>467.15916775261894</v>
      </c>
      <c r="C9" s="2632">
        <f t="shared" si="10"/>
        <v>346.01232557169084</v>
      </c>
      <c r="D9" s="2632">
        <f t="shared" si="3"/>
        <v>346.01232557169084</v>
      </c>
      <c r="E9" s="2632">
        <f t="shared" si="4"/>
        <v>667.41617752122568</v>
      </c>
      <c r="F9" s="2632">
        <f t="shared" si="5"/>
        <v>308.20314391798104</v>
      </c>
      <c r="G9" s="2718">
        <v>2019</v>
      </c>
      <c r="H9" s="2622">
        <v>1</v>
      </c>
      <c r="I9" s="2622">
        <v>0.6</v>
      </c>
      <c r="J9" s="2622">
        <v>0.37</v>
      </c>
      <c r="K9" s="2622">
        <v>0.63</v>
      </c>
      <c r="L9" s="2633">
        <v>1.1299999999999999</v>
      </c>
      <c r="M9" s="2626"/>
      <c r="N9" s="2627">
        <f t="shared" si="6"/>
        <v>6.0000000000000001E-3</v>
      </c>
      <c r="O9" s="2628">
        <f t="shared" si="6"/>
        <v>3.7000000000000002E-3</v>
      </c>
      <c r="P9" s="2628">
        <f t="shared" si="6"/>
        <v>6.3E-3</v>
      </c>
      <c r="Q9" s="2628">
        <f t="shared" si="6"/>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si="7"/>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si="8"/>
        <v>1.5299999999999999E-2</v>
      </c>
      <c r="AG9" s="2637">
        <f>ROUND(AVERAGE(K9:K$29)/100,4)</f>
        <v>2.3699999999999999E-2</v>
      </c>
      <c r="AH9" s="2637">
        <f>ROUND(AVERAGE(L9:L$29)/100,4)</f>
        <v>1.47E-2</v>
      </c>
    </row>
    <row r="10" spans="1:34" s="2724" customFormat="1">
      <c r="A10" s="2619" t="s">
        <v>2968</v>
      </c>
      <c r="B10" s="3176">
        <f t="shared" si="9"/>
        <v>464.37293017158942</v>
      </c>
      <c r="C10" s="3176">
        <f t="shared" si="10"/>
        <v>344.73679941385956</v>
      </c>
      <c r="D10" s="3176">
        <f t="shared" si="3"/>
        <v>344.73679941385956</v>
      </c>
      <c r="E10" s="3176">
        <f t="shared" si="4"/>
        <v>663.2377795103107</v>
      </c>
      <c r="F10" s="3177">
        <f t="shared" si="5"/>
        <v>304.75936311478398</v>
      </c>
      <c r="G10" s="3480">
        <v>2018</v>
      </c>
      <c r="H10" s="2620">
        <v>4</v>
      </c>
      <c r="I10" s="2620">
        <v>0.96</v>
      </c>
      <c r="J10" s="2620">
        <v>1.03</v>
      </c>
      <c r="K10" s="2620">
        <v>0.92</v>
      </c>
      <c r="L10" s="2621">
        <v>1.29</v>
      </c>
      <c r="M10" s="2626"/>
      <c r="N10" s="2627">
        <f t="shared" si="6"/>
        <v>9.5999999999999992E-3</v>
      </c>
      <c r="O10" s="2628">
        <f t="shared" si="6"/>
        <v>1.03E-2</v>
      </c>
      <c r="P10" s="2628">
        <f t="shared" si="6"/>
        <v>9.1999999999999998E-3</v>
      </c>
      <c r="Q10" s="2628">
        <f t="shared" si="6"/>
        <v>1.29E-2</v>
      </c>
      <c r="R10" s="2629"/>
      <c r="S10" s="2630"/>
      <c r="T10" s="2631"/>
      <c r="U10" s="2631"/>
      <c r="V10" s="2631"/>
      <c r="W10" s="2626"/>
      <c r="X10" s="2717">
        <f>ROUND(SUMPRODUCT(PRODUCT(1+N10:N$28)),4)</f>
        <v>1.5099</v>
      </c>
      <c r="Y10" s="2717">
        <f>ROUND(SUMPRODUCT(PRODUCT(1+O10:O$28)),4)</f>
        <v>1.3372999999999999</v>
      </c>
      <c r="Z10" s="2717">
        <f t="shared" si="7"/>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si="8"/>
        <v>1.5800000000000002E-2</v>
      </c>
      <c r="AG10" s="2637">
        <f>ROUND(AVERAGE(K10:K$29)/100,4)</f>
        <v>2.4500000000000001E-2</v>
      </c>
      <c r="AH10" s="2637">
        <f>ROUND(AVERAGE(L10:L$29)/100,4)</f>
        <v>1.49E-2</v>
      </c>
    </row>
    <row r="11" spans="1:34" s="2724" customFormat="1" ht="14.45" customHeight="1">
      <c r="A11" s="2619" t="s">
        <v>2961</v>
      </c>
      <c r="B11" s="2632">
        <f t="shared" si="9"/>
        <v>459.95733971036987</v>
      </c>
      <c r="C11" s="2632">
        <f t="shared" si="10"/>
        <v>341.22221064422405</v>
      </c>
      <c r="D11" s="2632">
        <f t="shared" si="3"/>
        <v>341.22221064422405</v>
      </c>
      <c r="E11" s="2632">
        <f t="shared" si="4"/>
        <v>657.19161663724799</v>
      </c>
      <c r="F11" s="2632">
        <f t="shared" si="5"/>
        <v>300.87803644464805</v>
      </c>
      <c r="G11" s="3480"/>
      <c r="H11" s="2622">
        <v>3</v>
      </c>
      <c r="I11" s="2622">
        <v>1.51</v>
      </c>
      <c r="J11" s="2622">
        <v>1.41</v>
      </c>
      <c r="K11" s="2622">
        <v>1.52</v>
      </c>
      <c r="L11" s="2633">
        <v>1.74</v>
      </c>
      <c r="M11" s="2626"/>
      <c r="N11" s="2627">
        <f t="shared" si="6"/>
        <v>1.5100000000000001E-2</v>
      </c>
      <c r="O11" s="2628">
        <f t="shared" si="6"/>
        <v>1.41E-2</v>
      </c>
      <c r="P11" s="2628">
        <f t="shared" si="6"/>
        <v>1.52E-2</v>
      </c>
      <c r="Q11" s="2628">
        <f t="shared" si="6"/>
        <v>1.7399999999999999E-2</v>
      </c>
      <c r="R11" s="2629"/>
      <c r="S11" s="2627"/>
      <c r="T11" s="2628"/>
      <c r="U11" s="2628"/>
      <c r="V11" s="2628"/>
      <c r="W11" s="2626"/>
      <c r="X11" s="2717">
        <f>ROUND(SUMPRODUCT(PRODUCT(1+N11:N$28)),4)</f>
        <v>1.4956</v>
      </c>
      <c r="Y11" s="2717">
        <f>ROUND(SUMPRODUCT(PRODUCT(1+O11:O$28)),4)</f>
        <v>1.3237000000000001</v>
      </c>
      <c r="Z11" s="2717">
        <f t="shared" si="7"/>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si="8"/>
        <v>1.61E-2</v>
      </c>
      <c r="AG11" s="2637">
        <f>ROUND(AVERAGE(K11:K$29)/100,4)</f>
        <v>2.53E-2</v>
      </c>
      <c r="AH11" s="2637">
        <f>ROUND(AVERAGE(L11:L$29)/100,4)</f>
        <v>1.4999999999999999E-2</v>
      </c>
    </row>
    <row r="12" spans="1:34" s="2724" customFormat="1" ht="14.45" customHeight="1">
      <c r="A12" s="2619" t="s">
        <v>2962</v>
      </c>
      <c r="B12" s="2632">
        <f t="shared" si="9"/>
        <v>453.11529869999993</v>
      </c>
      <c r="C12" s="2632">
        <f t="shared" si="10"/>
        <v>336.47787264000004</v>
      </c>
      <c r="D12" s="2632">
        <f t="shared" si="3"/>
        <v>336.47787264000004</v>
      </c>
      <c r="E12" s="2632">
        <f t="shared" si="4"/>
        <v>647.35186823999993</v>
      </c>
      <c r="F12" s="2632">
        <f t="shared" si="5"/>
        <v>295.73229452000004</v>
      </c>
      <c r="G12" s="3480"/>
      <c r="H12" s="2623">
        <v>2</v>
      </c>
      <c r="I12" s="2623">
        <v>1.49</v>
      </c>
      <c r="J12" s="2623">
        <v>0.96</v>
      </c>
      <c r="K12" s="2623">
        <v>1.58</v>
      </c>
      <c r="L12" s="2634">
        <v>2.44</v>
      </c>
      <c r="M12" s="2626"/>
      <c r="N12" s="2627">
        <f t="shared" si="6"/>
        <v>1.49E-2</v>
      </c>
      <c r="O12" s="2628">
        <f t="shared" si="6"/>
        <v>9.5999999999999992E-3</v>
      </c>
      <c r="P12" s="2628">
        <f t="shared" si="6"/>
        <v>1.5800000000000002E-2</v>
      </c>
      <c r="Q12" s="2628">
        <f t="shared" si="6"/>
        <v>2.4399999999999998E-2</v>
      </c>
      <c r="R12" s="2629"/>
      <c r="S12" s="2627"/>
      <c r="T12" s="2628"/>
      <c r="U12" s="2628"/>
      <c r="V12" s="2628"/>
      <c r="W12" s="2626"/>
      <c r="X12" s="2717">
        <f>ROUND(SUMPRODUCT(PRODUCT(1+N12:N$28)),4)</f>
        <v>1.4733000000000001</v>
      </c>
      <c r="Y12" s="2717">
        <f>ROUND(SUMPRODUCT(PRODUCT(1+O12:O$28)),4)</f>
        <v>1.3052999999999999</v>
      </c>
      <c r="Z12" s="2717">
        <f t="shared" si="7"/>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si="8"/>
        <v>1.6199999999999999E-2</v>
      </c>
      <c r="AG12" s="2637">
        <f>ROUND(AVERAGE(K12:K$29)/100,4)</f>
        <v>2.5899999999999999E-2</v>
      </c>
      <c r="AH12" s="2637">
        <f>ROUND(AVERAGE(L12:L$29)/100,4)</f>
        <v>1.49E-2</v>
      </c>
    </row>
    <row r="13" spans="1:34" s="2724" customFormat="1" ht="15" customHeight="1" thickBot="1">
      <c r="A13" s="2619" t="s">
        <v>2958</v>
      </c>
      <c r="B13" s="2632">
        <f t="shared" si="9"/>
        <v>446.46299999999997</v>
      </c>
      <c r="C13" s="2632">
        <f t="shared" si="10"/>
        <v>333.27840000000003</v>
      </c>
      <c r="D13" s="2632">
        <f t="shared" ref="D13:D18" si="11">C13</f>
        <v>333.27840000000003</v>
      </c>
      <c r="E13" s="2632">
        <f t="shared" si="4"/>
        <v>637.28279999999995</v>
      </c>
      <c r="F13" s="2632">
        <f t="shared" si="5"/>
        <v>288.68830000000003</v>
      </c>
      <c r="G13" s="3486"/>
      <c r="H13" s="2622">
        <v>1</v>
      </c>
      <c r="I13" s="2622">
        <v>1.7</v>
      </c>
      <c r="J13" s="2622">
        <v>1.92</v>
      </c>
      <c r="K13" s="2622">
        <v>1.64</v>
      </c>
      <c r="L13" s="2633">
        <v>2.0099999999999998</v>
      </c>
      <c r="M13" s="2626"/>
      <c r="N13" s="2627">
        <f t="shared" ref="N13:N18" si="12">I13/100</f>
        <v>1.7000000000000001E-2</v>
      </c>
      <c r="O13" s="2628">
        <f t="shared" ref="O13:Q17" si="13">J13/100</f>
        <v>1.9199999999999998E-2</v>
      </c>
      <c r="P13" s="2628">
        <f t="shared" si="13"/>
        <v>1.6399999999999998E-2</v>
      </c>
      <c r="Q13" s="2628">
        <f t="shared" si="13"/>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si="7"/>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si="8"/>
        <v>1.66E-2</v>
      </c>
      <c r="AG13" s="2637">
        <f>ROUND(AVERAGE(K13:K$29)/100,4)</f>
        <v>2.6499999999999999E-2</v>
      </c>
      <c r="AH13" s="2637">
        <f>ROUND(AVERAGE(L13:L$29)/100,4)</f>
        <v>1.43E-2</v>
      </c>
    </row>
    <row r="14" spans="1:34">
      <c r="A14" s="2619" t="s">
        <v>2949</v>
      </c>
      <c r="B14" s="3094">
        <v>439</v>
      </c>
      <c r="C14" s="3094">
        <v>327</v>
      </c>
      <c r="D14" s="3094">
        <f t="shared" si="11"/>
        <v>327</v>
      </c>
      <c r="E14" s="3094">
        <v>627</v>
      </c>
      <c r="F14" s="3095">
        <v>283</v>
      </c>
      <c r="G14" s="3485">
        <v>2017</v>
      </c>
      <c r="H14" s="2620">
        <v>4</v>
      </c>
      <c r="I14" s="2620">
        <v>1.71</v>
      </c>
      <c r="J14" s="2620">
        <v>1.78</v>
      </c>
      <c r="K14" s="2620">
        <v>1.71</v>
      </c>
      <c r="L14" s="2621">
        <v>1.43</v>
      </c>
      <c r="N14" s="2640">
        <f t="shared" si="12"/>
        <v>1.7100000000000001E-2</v>
      </c>
      <c r="O14" s="2641">
        <f t="shared" si="13"/>
        <v>1.78E-2</v>
      </c>
      <c r="P14" s="2641">
        <f t="shared" si="13"/>
        <v>1.7100000000000001E-2</v>
      </c>
      <c r="Q14" s="2641">
        <f t="shared" si="13"/>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2953</v>
      </c>
      <c r="B15" s="2632">
        <f t="shared" ref="B15:C17" si="14">B16*(1+N15)</f>
        <v>431.80730811680002</v>
      </c>
      <c r="C15" s="2632">
        <f t="shared" si="14"/>
        <v>320.57880516480003</v>
      </c>
      <c r="D15" s="2632">
        <f t="shared" si="11"/>
        <v>320.57880516480003</v>
      </c>
      <c r="E15" s="2632">
        <f t="shared" ref="E15:F17" si="15">E16*(1+P15)</f>
        <v>615.96110553196797</v>
      </c>
      <c r="F15" s="2632">
        <f t="shared" si="15"/>
        <v>279.46777300108801</v>
      </c>
      <c r="G15" s="3480"/>
      <c r="H15" s="2622">
        <v>3</v>
      </c>
      <c r="I15" s="2622">
        <v>2.98</v>
      </c>
      <c r="J15" s="2622">
        <v>2.11</v>
      </c>
      <c r="K15" s="2622">
        <v>3.24</v>
      </c>
      <c r="L15" s="2633">
        <v>1.72</v>
      </c>
      <c r="M15" s="2626"/>
      <c r="N15" s="2627">
        <f t="shared" si="12"/>
        <v>2.98E-2</v>
      </c>
      <c r="O15" s="2645">
        <f t="shared" si="13"/>
        <v>2.1099999999999997E-2</v>
      </c>
      <c r="P15" s="2645">
        <f t="shared" si="13"/>
        <v>3.2400000000000005E-2</v>
      </c>
      <c r="Q15" s="2645">
        <f t="shared" si="13"/>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2576</v>
      </c>
      <c r="B16" s="2632">
        <f t="shared" si="14"/>
        <v>419.31181600000002</v>
      </c>
      <c r="C16" s="2632">
        <f t="shared" si="14"/>
        <v>313.95436800000004</v>
      </c>
      <c r="D16" s="2632">
        <f t="shared" si="11"/>
        <v>313.95436800000004</v>
      </c>
      <c r="E16" s="2632">
        <f t="shared" si="15"/>
        <v>596.63028431999999</v>
      </c>
      <c r="F16" s="2632">
        <f t="shared" si="15"/>
        <v>274.74220703999998</v>
      </c>
      <c r="G16" s="3480"/>
      <c r="H16" s="2623">
        <v>2</v>
      </c>
      <c r="I16" s="2623">
        <v>3.4</v>
      </c>
      <c r="J16" s="2623">
        <v>2</v>
      </c>
      <c r="K16" s="2623">
        <v>3.82</v>
      </c>
      <c r="L16" s="2634">
        <v>1.68</v>
      </c>
      <c r="N16" s="2627">
        <f t="shared" si="12"/>
        <v>3.4000000000000002E-2</v>
      </c>
      <c r="O16" s="2645">
        <f t="shared" si="13"/>
        <v>0.02</v>
      </c>
      <c r="P16" s="2645">
        <f t="shared" si="13"/>
        <v>3.8199999999999998E-2</v>
      </c>
      <c r="Q16" s="2645">
        <f t="shared" si="1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2577</v>
      </c>
      <c r="B17" s="2632">
        <f t="shared" si="14"/>
        <v>405.524</v>
      </c>
      <c r="C17" s="2632">
        <f t="shared" si="14"/>
        <v>307.79840000000002</v>
      </c>
      <c r="D17" s="2632">
        <f t="shared" si="11"/>
        <v>307.79840000000002</v>
      </c>
      <c r="E17" s="2632">
        <f t="shared" si="15"/>
        <v>574.67759999999998</v>
      </c>
      <c r="F17" s="2632">
        <f t="shared" si="15"/>
        <v>270.20280000000002</v>
      </c>
      <c r="G17" s="3486"/>
      <c r="H17" s="2622">
        <v>1</v>
      </c>
      <c r="I17" s="2622">
        <v>3.45</v>
      </c>
      <c r="J17" s="2622">
        <v>1.92</v>
      </c>
      <c r="K17" s="2622">
        <v>3.92</v>
      </c>
      <c r="L17" s="2633">
        <v>1.58</v>
      </c>
      <c r="M17" s="2626"/>
      <c r="N17" s="2635">
        <f t="shared" si="12"/>
        <v>3.4500000000000003E-2</v>
      </c>
      <c r="O17" s="2636">
        <f t="shared" si="13"/>
        <v>1.9199999999999998E-2</v>
      </c>
      <c r="P17" s="2636">
        <f t="shared" si="13"/>
        <v>3.9199999999999999E-2</v>
      </c>
      <c r="Q17" s="2636">
        <f t="shared" si="13"/>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11"/>
        <v>302</v>
      </c>
      <c r="E18" s="2624">
        <v>553</v>
      </c>
      <c r="F18" s="2625">
        <v>266</v>
      </c>
      <c r="G18" s="3485">
        <v>2016</v>
      </c>
      <c r="H18" s="2620">
        <v>4</v>
      </c>
      <c r="I18" s="2620">
        <v>4.5599999999999996</v>
      </c>
      <c r="J18" s="2620">
        <v>2.15</v>
      </c>
      <c r="K18" s="2620">
        <v>5.32</v>
      </c>
      <c r="L18" s="2621">
        <v>1.57</v>
      </c>
      <c r="N18" s="2627">
        <f t="shared" si="12"/>
        <v>4.5599999999999995E-2</v>
      </c>
      <c r="O18" s="2628">
        <f t="shared" ref="O18:Q33" si="16">J18/100</f>
        <v>2.1499999999999998E-2</v>
      </c>
      <c r="P18" s="2628">
        <f t="shared" si="16"/>
        <v>5.3200000000000004E-2</v>
      </c>
      <c r="Q18" s="2628">
        <f t="shared" si="16"/>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7">B18/(1+N18)</f>
        <v>374.90436113236416</v>
      </c>
      <c r="C19" s="2632">
        <f t="shared" si="17"/>
        <v>295.64366128242779</v>
      </c>
      <c r="D19" s="2632">
        <f t="shared" ref="D19:D78" si="18">C19</f>
        <v>295.64366128242779</v>
      </c>
      <c r="E19" s="2632">
        <f t="shared" ref="E19:F21" si="19">E18/(1+P18)</f>
        <v>525.06646410938095</v>
      </c>
      <c r="F19" s="2632">
        <f t="shared" si="19"/>
        <v>261.88835286009646</v>
      </c>
      <c r="G19" s="3480"/>
      <c r="H19" s="2622">
        <v>3</v>
      </c>
      <c r="I19" s="2622">
        <v>4.12</v>
      </c>
      <c r="J19" s="2622">
        <v>2</v>
      </c>
      <c r="K19" s="2622">
        <v>4.79</v>
      </c>
      <c r="L19" s="2633">
        <v>1.97</v>
      </c>
      <c r="N19" s="2627">
        <f t="shared" ref="N19:Q53" si="20">I19/100</f>
        <v>4.1200000000000001E-2</v>
      </c>
      <c r="O19" s="2628">
        <f t="shared" si="16"/>
        <v>0.02</v>
      </c>
      <c r="P19" s="2628">
        <f t="shared" si="16"/>
        <v>4.7899999999999998E-2</v>
      </c>
      <c r="Q19" s="2628">
        <f t="shared" si="16"/>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7"/>
        <v>360.06949782209392</v>
      </c>
      <c r="C20" s="2632">
        <f t="shared" si="17"/>
        <v>289.84672674747821</v>
      </c>
      <c r="D20" s="2632">
        <f t="shared" si="18"/>
        <v>289.84672674747821</v>
      </c>
      <c r="E20" s="2632">
        <f t="shared" si="19"/>
        <v>501.06543001181495</v>
      </c>
      <c r="F20" s="2632">
        <f t="shared" si="19"/>
        <v>256.82882500744967</v>
      </c>
      <c r="G20" s="3480"/>
      <c r="H20" s="2623">
        <v>2</v>
      </c>
      <c r="I20" s="2623">
        <v>3.85</v>
      </c>
      <c r="J20" s="2623">
        <v>1.95</v>
      </c>
      <c r="K20" s="2623">
        <v>4.4800000000000004</v>
      </c>
      <c r="L20" s="2634">
        <v>1.41</v>
      </c>
      <c r="N20" s="2627">
        <f t="shared" si="20"/>
        <v>3.85E-2</v>
      </c>
      <c r="O20" s="2628">
        <f t="shared" si="16"/>
        <v>1.95E-2</v>
      </c>
      <c r="P20" s="2628">
        <f t="shared" si="16"/>
        <v>4.4800000000000006E-2</v>
      </c>
      <c r="Q20" s="2628">
        <f t="shared" si="16"/>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7"/>
        <v>346.720748986128</v>
      </c>
      <c r="C21" s="2632">
        <f t="shared" si="17"/>
        <v>284.30282172386285</v>
      </c>
      <c r="D21" s="2632">
        <f t="shared" si="18"/>
        <v>284.30282172386285</v>
      </c>
      <c r="E21" s="2632">
        <f t="shared" si="19"/>
        <v>479.58023546306947</v>
      </c>
      <c r="F21" s="2632">
        <f t="shared" si="19"/>
        <v>253.25788877571213</v>
      </c>
      <c r="G21" s="3481"/>
      <c r="H21" s="2622">
        <v>1</v>
      </c>
      <c r="I21" s="2622">
        <v>4.09</v>
      </c>
      <c r="J21" s="2622">
        <v>2.93</v>
      </c>
      <c r="K21" s="2622">
        <v>4.54</v>
      </c>
      <c r="L21" s="2633">
        <v>1.48</v>
      </c>
      <c r="N21" s="2627">
        <f t="shared" si="20"/>
        <v>4.0899999999999999E-2</v>
      </c>
      <c r="O21" s="2628">
        <f t="shared" si="16"/>
        <v>2.9300000000000003E-2</v>
      </c>
      <c r="P21" s="2628">
        <f t="shared" si="16"/>
        <v>4.5400000000000003E-2</v>
      </c>
      <c r="Q21" s="2628">
        <f t="shared" si="16"/>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8"/>
        <v>277</v>
      </c>
      <c r="E22" s="2624">
        <v>459</v>
      </c>
      <c r="F22" s="2625">
        <v>249</v>
      </c>
      <c r="G22" s="3479">
        <v>2015</v>
      </c>
      <c r="H22" s="2638">
        <v>4</v>
      </c>
      <c r="I22" s="2638">
        <v>1.63</v>
      </c>
      <c r="J22" s="2638">
        <v>1.1100000000000001</v>
      </c>
      <c r="K22" s="2638">
        <v>1.77</v>
      </c>
      <c r="L22" s="2639">
        <v>1.89</v>
      </c>
      <c r="N22" s="2640">
        <f t="shared" si="20"/>
        <v>1.6299999999999999E-2</v>
      </c>
      <c r="O22" s="2641">
        <f t="shared" si="16"/>
        <v>1.11E-2</v>
      </c>
      <c r="P22" s="2641">
        <f t="shared" si="16"/>
        <v>1.77E-2</v>
      </c>
      <c r="Q22" s="2641">
        <f t="shared" si="16"/>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21">B22/(1+N22)</f>
        <v>327.65915576109415</v>
      </c>
      <c r="C23" s="2632">
        <f t="shared" si="21"/>
        <v>273.95905449510434</v>
      </c>
      <c r="D23" s="2632">
        <f t="shared" si="18"/>
        <v>273.95905449510434</v>
      </c>
      <c r="E23" s="2632">
        <f t="shared" ref="E23:F25" si="22">E22/(1+P22)</f>
        <v>451.01699911565294</v>
      </c>
      <c r="F23" s="2632">
        <f t="shared" si="22"/>
        <v>244.38119540681129</v>
      </c>
      <c r="G23" s="3480"/>
      <c r="H23" s="2643">
        <v>3</v>
      </c>
      <c r="I23" s="2643">
        <v>1.65</v>
      </c>
      <c r="J23" s="2643">
        <v>0.92</v>
      </c>
      <c r="K23" s="2643">
        <v>1.88</v>
      </c>
      <c r="L23" s="2644">
        <v>1.26</v>
      </c>
      <c r="N23" s="2627">
        <f t="shared" si="20"/>
        <v>1.6500000000000001E-2</v>
      </c>
      <c r="O23" s="2645">
        <f t="shared" si="16"/>
        <v>9.1999999999999998E-3</v>
      </c>
      <c r="P23" s="2645">
        <f t="shared" si="16"/>
        <v>1.8799999999999997E-2</v>
      </c>
      <c r="Q23" s="2645">
        <f t="shared" si="16"/>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21"/>
        <v>322.34053690220776</v>
      </c>
      <c r="C24" s="2632">
        <f t="shared" si="21"/>
        <v>271.46160770422546</v>
      </c>
      <c r="D24" s="2632">
        <f t="shared" si="18"/>
        <v>271.46160770422546</v>
      </c>
      <c r="E24" s="2632">
        <f t="shared" si="22"/>
        <v>442.69434542172456</v>
      </c>
      <c r="F24" s="2632">
        <f t="shared" si="22"/>
        <v>241.34030753190925</v>
      </c>
      <c r="G24" s="3480"/>
      <c r="H24" s="2623">
        <v>2</v>
      </c>
      <c r="I24" s="2623">
        <v>0.77</v>
      </c>
      <c r="J24" s="2623">
        <v>0.69</v>
      </c>
      <c r="K24" s="2623">
        <v>0.8</v>
      </c>
      <c r="L24" s="2634">
        <v>0.88</v>
      </c>
      <c r="N24" s="2627">
        <f t="shared" si="20"/>
        <v>7.7000000000000002E-3</v>
      </c>
      <c r="O24" s="2645">
        <f t="shared" si="16"/>
        <v>6.8999999999999999E-3</v>
      </c>
      <c r="P24" s="2645">
        <f t="shared" si="16"/>
        <v>8.0000000000000002E-3</v>
      </c>
      <c r="Q24" s="2645">
        <f t="shared" si="16"/>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21"/>
        <v>319.87748030386797</v>
      </c>
      <c r="C25" s="2632">
        <f t="shared" si="21"/>
        <v>269.60135833173649</v>
      </c>
      <c r="D25" s="2632">
        <f t="shared" si="18"/>
        <v>269.60135833173649</v>
      </c>
      <c r="E25" s="2632">
        <f t="shared" si="22"/>
        <v>439.18089823583784</v>
      </c>
      <c r="F25" s="2632">
        <f t="shared" si="22"/>
        <v>239.23503918706311</v>
      </c>
      <c r="G25" s="3481"/>
      <c r="H25" s="2622">
        <v>1</v>
      </c>
      <c r="I25" s="2622">
        <v>0.51</v>
      </c>
      <c r="J25" s="2622">
        <v>0.54</v>
      </c>
      <c r="K25" s="2622">
        <v>0.48</v>
      </c>
      <c r="L25" s="2633">
        <v>0.93</v>
      </c>
      <c r="N25" s="2635">
        <f t="shared" si="20"/>
        <v>5.1000000000000004E-3</v>
      </c>
      <c r="O25" s="2636">
        <f t="shared" si="16"/>
        <v>5.4000000000000003E-3</v>
      </c>
      <c r="P25" s="2636">
        <f t="shared" si="16"/>
        <v>4.7999999999999996E-3</v>
      </c>
      <c r="Q25" s="2636">
        <f t="shared" si="16"/>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8"/>
        <v>268</v>
      </c>
      <c r="E26" s="2646">
        <v>437</v>
      </c>
      <c r="F26" s="2647">
        <v>237</v>
      </c>
      <c r="G26" s="3479">
        <v>2014</v>
      </c>
      <c r="H26" s="2638">
        <v>4</v>
      </c>
      <c r="I26" s="2638">
        <v>0.21</v>
      </c>
      <c r="J26" s="2638">
        <v>0.41</v>
      </c>
      <c r="K26" s="2638">
        <v>0.12</v>
      </c>
      <c r="L26" s="2639">
        <v>0.89</v>
      </c>
      <c r="N26" s="2627">
        <f t="shared" si="20"/>
        <v>2.0999999999999999E-3</v>
      </c>
      <c r="O26" s="2628">
        <f t="shared" si="16"/>
        <v>4.0999999999999995E-3</v>
      </c>
      <c r="P26" s="2628">
        <f t="shared" si="16"/>
        <v>1.1999999999999999E-3</v>
      </c>
      <c r="Q26" s="2628">
        <f t="shared" si="16"/>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23">B26/(1+N26)</f>
        <v>317.33359944117353</v>
      </c>
      <c r="C27" s="2632">
        <f t="shared" si="23"/>
        <v>266.90568668459315</v>
      </c>
      <c r="D27" s="2632">
        <f t="shared" si="18"/>
        <v>266.90568668459315</v>
      </c>
      <c r="E27" s="2632">
        <f t="shared" ref="E27:F29" si="24">E26/(1+P26)</f>
        <v>436.47622852576905</v>
      </c>
      <c r="F27" s="2632">
        <f t="shared" si="24"/>
        <v>234.90930716622066</v>
      </c>
      <c r="G27" s="3480"/>
      <c r="H27" s="2648">
        <v>3</v>
      </c>
      <c r="I27" s="2648">
        <v>0.83</v>
      </c>
      <c r="J27" s="2648">
        <v>1.47</v>
      </c>
      <c r="K27" s="2648">
        <v>0.65</v>
      </c>
      <c r="L27" s="2649">
        <v>0.72</v>
      </c>
      <c r="N27" s="2627">
        <f t="shared" si="20"/>
        <v>8.3000000000000001E-3</v>
      </c>
      <c r="O27" s="2628">
        <f t="shared" si="16"/>
        <v>1.47E-2</v>
      </c>
      <c r="P27" s="2628">
        <f t="shared" si="16"/>
        <v>6.5000000000000006E-3</v>
      </c>
      <c r="Q27" s="2628">
        <f t="shared" si="16"/>
        <v>7.1999999999999998E-3</v>
      </c>
      <c r="R27" s="2629"/>
      <c r="S27" s="2627"/>
      <c r="T27" s="2628"/>
      <c r="U27" s="2628"/>
      <c r="V27" s="2628"/>
      <c r="X27" s="2717">
        <f>ROUND(SUMPRODUCT(PRODUCT(1+N27:N$28)),4)</f>
        <v>1.0325</v>
      </c>
      <c r="Y27" s="2717">
        <f>ROUND(SUMPRODUCT(PRODUCT(1+O27:O$28)),4)</f>
        <v>1.0353000000000001</v>
      </c>
      <c r="Z27" s="2717">
        <f>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23"/>
        <v>314.72141172386546</v>
      </c>
      <c r="C28" s="2632">
        <f t="shared" si="23"/>
        <v>263.03901319069001</v>
      </c>
      <c r="D28" s="2632">
        <f t="shared" si="18"/>
        <v>263.03901319069001</v>
      </c>
      <c r="E28" s="2632">
        <f t="shared" si="24"/>
        <v>433.65745506782821</v>
      </c>
      <c r="F28" s="2632">
        <f t="shared" si="24"/>
        <v>233.23005080045735</v>
      </c>
      <c r="G28" s="3480"/>
      <c r="H28" s="2638">
        <v>2</v>
      </c>
      <c r="I28" s="2638">
        <v>2.4</v>
      </c>
      <c r="J28" s="2638">
        <v>2.0299999999999998</v>
      </c>
      <c r="K28" s="2638">
        <v>2.59</v>
      </c>
      <c r="L28" s="2639">
        <v>1.52</v>
      </c>
      <c r="N28" s="2627">
        <f t="shared" si="20"/>
        <v>2.4E-2</v>
      </c>
      <c r="O28" s="2628">
        <f t="shared" si="16"/>
        <v>2.0299999999999999E-2</v>
      </c>
      <c r="P28" s="2628">
        <f t="shared" si="16"/>
        <v>2.5899999999999999E-2</v>
      </c>
      <c r="Q28" s="2628">
        <f t="shared" si="16"/>
        <v>1.52E-2</v>
      </c>
      <c r="R28" s="2629"/>
      <c r="S28" s="2627"/>
      <c r="T28" s="2628"/>
      <c r="U28" s="2628"/>
      <c r="V28" s="2628"/>
      <c r="X28" s="2717">
        <f>1+N28</f>
        <v>1.024</v>
      </c>
      <c r="Y28" s="2717">
        <f>1+O28</f>
        <v>1.0203</v>
      </c>
      <c r="Z28" s="2717">
        <f>Y28</f>
        <v>1.0203</v>
      </c>
      <c r="AA28" s="2717">
        <f>1+P28</f>
        <v>1.0259</v>
      </c>
      <c r="AB28" s="2717">
        <f>1+Q28</f>
        <v>1.0152000000000001</v>
      </c>
      <c r="AD28" s="2637">
        <f>ROUND(AVERAGE(I28:I$29)/100,4)</f>
        <v>2.69E-2</v>
      </c>
      <c r="AE28" s="2637">
        <f>ROUND(AVERAGE(J28:J$29)/100,4)</f>
        <v>2.1899999999999999E-2</v>
      </c>
      <c r="AF28" s="2637">
        <f>AE28</f>
        <v>2.1899999999999999E-2</v>
      </c>
      <c r="AG28" s="2637">
        <f>ROUND(AVERAGE(K28:K$29)/100,4)</f>
        <v>2.9399999999999999E-2</v>
      </c>
      <c r="AH28" s="2637">
        <f>ROUND(AVERAGE(L28:L$29)/100,4)</f>
        <v>1.44E-2</v>
      </c>
    </row>
    <row r="29" spans="1:34" s="2654" customFormat="1" ht="13.5" thickBot="1">
      <c r="A29" s="2650" t="s">
        <v>960</v>
      </c>
      <c r="B29" s="2651">
        <f t="shared" si="23"/>
        <v>307.34512863658733</v>
      </c>
      <c r="C29" s="2651">
        <f t="shared" si="23"/>
        <v>257.80556031626975</v>
      </c>
      <c r="D29" s="2651">
        <f t="shared" si="18"/>
        <v>257.80556031626975</v>
      </c>
      <c r="E29" s="2651">
        <f t="shared" si="24"/>
        <v>422.70928459677179</v>
      </c>
      <c r="F29" s="2651">
        <f t="shared" si="24"/>
        <v>229.73803270336617</v>
      </c>
      <c r="G29" s="3481"/>
      <c r="H29" s="2652">
        <v>1</v>
      </c>
      <c r="I29" s="2652">
        <v>2.97</v>
      </c>
      <c r="J29" s="2652">
        <v>2.34</v>
      </c>
      <c r="K29" s="2652">
        <v>3.28</v>
      </c>
      <c r="L29" s="2653">
        <v>1.36</v>
      </c>
      <c r="N29" s="2655">
        <f t="shared" si="20"/>
        <v>2.9700000000000001E-2</v>
      </c>
      <c r="O29" s="2656">
        <f t="shared" si="16"/>
        <v>2.3399999999999997E-2</v>
      </c>
      <c r="P29" s="2656">
        <f t="shared" si="16"/>
        <v>3.2799999999999996E-2</v>
      </c>
      <c r="Q29" s="2656">
        <f t="shared" si="16"/>
        <v>1.3600000000000001E-2</v>
      </c>
      <c r="R29" s="2657"/>
      <c r="S29" s="2658">
        <f>B29/B30-1</f>
        <v>2.7910129219355539E-2</v>
      </c>
      <c r="T29" s="2659">
        <f>C29/C30-1</f>
        <v>2.3037937762975247E-2</v>
      </c>
      <c r="U29" s="2659">
        <f>E29/E30-1</f>
        <v>3.3519033243940788E-2</v>
      </c>
      <c r="V29" s="2659">
        <f>F29/F30-1</f>
        <v>1.2061818076502862E-2</v>
      </c>
      <c r="W29" s="2726" t="s">
        <v>2635</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2578</v>
      </c>
      <c r="B30" s="2624">
        <v>299</v>
      </c>
      <c r="C30" s="2624">
        <v>252</v>
      </c>
      <c r="D30" s="2624">
        <f t="shared" si="18"/>
        <v>252</v>
      </c>
      <c r="E30" s="2624">
        <v>409</v>
      </c>
      <c r="F30" s="2625">
        <v>227</v>
      </c>
      <c r="G30" s="3482">
        <v>2013</v>
      </c>
      <c r="H30" s="2660">
        <v>4</v>
      </c>
      <c r="I30" s="2660">
        <v>1.83</v>
      </c>
      <c r="J30" s="2660">
        <v>1.68</v>
      </c>
      <c r="K30" s="2660">
        <v>1.97</v>
      </c>
      <c r="L30" s="2661">
        <v>0.87</v>
      </c>
      <c r="N30" s="2640">
        <f t="shared" si="20"/>
        <v>1.83E-2</v>
      </c>
      <c r="O30" s="2641">
        <f t="shared" si="16"/>
        <v>1.6799999999999999E-2</v>
      </c>
      <c r="P30" s="2641">
        <f t="shared" si="16"/>
        <v>1.9699999999999999E-2</v>
      </c>
      <c r="Q30" s="2641">
        <f t="shared" si="16"/>
        <v>8.6999999999999994E-3</v>
      </c>
      <c r="R30" s="2629"/>
      <c r="S30" s="2630"/>
      <c r="T30" s="2631"/>
      <c r="U30" s="2631"/>
      <c r="V30" s="2631"/>
      <c r="X30" s="2631"/>
      <c r="Y30" s="2631"/>
      <c r="Z30" s="2631"/>
    </row>
    <row r="31" spans="1:34">
      <c r="A31" s="2619" t="s">
        <v>2579</v>
      </c>
      <c r="B31" s="2632">
        <f t="shared" ref="B31:C33" si="25">B30/(1+N30)</f>
        <v>293.62663262299913</v>
      </c>
      <c r="C31" s="2632">
        <f t="shared" si="25"/>
        <v>247.83634933123525</v>
      </c>
      <c r="D31" s="2632">
        <f t="shared" si="18"/>
        <v>247.83634933123525</v>
      </c>
      <c r="E31" s="2632">
        <f t="shared" ref="E31:F33" si="26">E30/(1+P30)</f>
        <v>401.09836226341076</v>
      </c>
      <c r="F31" s="2632">
        <f t="shared" si="26"/>
        <v>225.04213343908003</v>
      </c>
      <c r="G31" s="3483"/>
      <c r="H31" s="2643">
        <v>3</v>
      </c>
      <c r="I31" s="2643">
        <v>1.86</v>
      </c>
      <c r="J31" s="2643">
        <v>1.72</v>
      </c>
      <c r="K31" s="2643">
        <v>1.98</v>
      </c>
      <c r="L31" s="2644">
        <v>0.88</v>
      </c>
      <c r="N31" s="2627">
        <f t="shared" si="20"/>
        <v>1.8600000000000002E-2</v>
      </c>
      <c r="O31" s="2645">
        <f t="shared" si="16"/>
        <v>1.72E-2</v>
      </c>
      <c r="P31" s="2645">
        <f t="shared" si="16"/>
        <v>1.9799999999999998E-2</v>
      </c>
      <c r="Q31" s="2645">
        <f t="shared" si="16"/>
        <v>8.8000000000000005E-3</v>
      </c>
      <c r="R31" s="2629"/>
      <c r="S31" s="2627"/>
      <c r="T31" s="2628"/>
      <c r="U31" s="2628"/>
      <c r="V31" s="2628"/>
    </row>
    <row r="32" spans="1:34">
      <c r="A32" s="2619" t="s">
        <v>2580</v>
      </c>
      <c r="B32" s="2632">
        <f t="shared" si="25"/>
        <v>288.2649053828776</v>
      </c>
      <c r="C32" s="2632">
        <f t="shared" si="25"/>
        <v>243.64564425013293</v>
      </c>
      <c r="D32" s="2632">
        <f t="shared" si="18"/>
        <v>243.64564425013293</v>
      </c>
      <c r="E32" s="2632">
        <f t="shared" si="26"/>
        <v>393.31080825986544</v>
      </c>
      <c r="F32" s="2632">
        <f t="shared" si="26"/>
        <v>223.07903790551154</v>
      </c>
      <c r="G32" s="3483"/>
      <c r="H32" s="2623">
        <v>2</v>
      </c>
      <c r="I32" s="2623">
        <v>2.04</v>
      </c>
      <c r="J32" s="2623">
        <v>2.33</v>
      </c>
      <c r="K32" s="2623">
        <v>2.0699999999999998</v>
      </c>
      <c r="L32" s="2634">
        <v>0.69</v>
      </c>
      <c r="N32" s="2627">
        <f t="shared" si="20"/>
        <v>2.0400000000000001E-2</v>
      </c>
      <c r="O32" s="2645">
        <f t="shared" si="16"/>
        <v>2.3300000000000001E-2</v>
      </c>
      <c r="P32" s="2645">
        <f t="shared" si="16"/>
        <v>2.07E-2</v>
      </c>
      <c r="Q32" s="2645">
        <f t="shared" si="16"/>
        <v>6.8999999999999999E-3</v>
      </c>
      <c r="R32" s="2629"/>
      <c r="S32" s="2627"/>
      <c r="T32" s="2628"/>
      <c r="U32" s="2628"/>
      <c r="V32" s="2628"/>
      <c r="X32" s="2729"/>
      <c r="Y32" s="2731"/>
    </row>
    <row r="33" spans="1:26">
      <c r="A33" s="2619" t="s">
        <v>2581</v>
      </c>
      <c r="B33" s="2632">
        <f t="shared" si="25"/>
        <v>282.50186729015837</v>
      </c>
      <c r="C33" s="2632">
        <f t="shared" si="25"/>
        <v>238.09796174155468</v>
      </c>
      <c r="D33" s="2632">
        <f t="shared" si="18"/>
        <v>238.09796174155468</v>
      </c>
      <c r="E33" s="2632">
        <f t="shared" si="26"/>
        <v>385.33438646014054</v>
      </c>
      <c r="F33" s="2632">
        <f t="shared" si="26"/>
        <v>221.55034055567739</v>
      </c>
      <c r="G33" s="3484"/>
      <c r="H33" s="2622">
        <v>1</v>
      </c>
      <c r="I33" s="2622">
        <v>1.67</v>
      </c>
      <c r="J33" s="2622">
        <v>1.31</v>
      </c>
      <c r="K33" s="2622">
        <v>1.85</v>
      </c>
      <c r="L33" s="2633">
        <v>0.96</v>
      </c>
      <c r="N33" s="2635">
        <f t="shared" si="20"/>
        <v>1.67E-2</v>
      </c>
      <c r="O33" s="2636">
        <f t="shared" si="16"/>
        <v>1.3100000000000001E-2</v>
      </c>
      <c r="P33" s="2636">
        <f t="shared" si="16"/>
        <v>1.8500000000000003E-2</v>
      </c>
      <c r="Q33" s="2636">
        <f t="shared" si="16"/>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2582</v>
      </c>
      <c r="B34" s="2662">
        <v>278</v>
      </c>
      <c r="C34" s="2662">
        <v>234</v>
      </c>
      <c r="D34" s="2662">
        <f t="shared" si="18"/>
        <v>234</v>
      </c>
      <c r="E34" s="2662">
        <v>379</v>
      </c>
      <c r="F34" s="2663">
        <v>220</v>
      </c>
      <c r="G34" s="3479">
        <v>2012</v>
      </c>
      <c r="H34" s="2638">
        <v>4</v>
      </c>
      <c r="I34" s="2638">
        <v>0.91</v>
      </c>
      <c r="J34" s="2638">
        <v>0.68</v>
      </c>
      <c r="K34" s="2638">
        <v>0.98</v>
      </c>
      <c r="L34" s="2639">
        <v>0.9</v>
      </c>
      <c r="N34" s="2627">
        <f t="shared" si="20"/>
        <v>9.1000000000000004E-3</v>
      </c>
      <c r="O34" s="2628">
        <f t="shared" si="20"/>
        <v>6.8000000000000005E-3</v>
      </c>
      <c r="P34" s="2628">
        <f t="shared" si="20"/>
        <v>9.7999999999999997E-3</v>
      </c>
      <c r="Q34" s="2628">
        <f t="shared" si="20"/>
        <v>9.0000000000000011E-3</v>
      </c>
      <c r="R34" s="2629"/>
      <c r="S34" s="2630"/>
      <c r="T34" s="2631"/>
      <c r="U34" s="2631"/>
      <c r="V34" s="2631"/>
      <c r="X34" s="2631"/>
      <c r="Y34" s="2631"/>
      <c r="Z34" s="2631"/>
    </row>
    <row r="35" spans="1:26">
      <c r="A35" s="2619" t="s">
        <v>2583</v>
      </c>
      <c r="B35" s="2632">
        <f>B34/(1+N34)</f>
        <v>275.49301357645425</v>
      </c>
      <c r="C35" s="2632">
        <f>C34/(1+O34)</f>
        <v>232.41954707985698</v>
      </c>
      <c r="D35" s="2632">
        <f t="shared" si="18"/>
        <v>232.41954707985698</v>
      </c>
      <c r="E35" s="2632">
        <f t="shared" ref="E35:F37" si="27">E34/(1+P34)</f>
        <v>375.32184591008121</v>
      </c>
      <c r="F35" s="2632">
        <f t="shared" si="27"/>
        <v>218.03766105054513</v>
      </c>
      <c r="G35" s="3480"/>
      <c r="H35" s="2643">
        <v>3</v>
      </c>
      <c r="I35" s="2643">
        <v>0.09</v>
      </c>
      <c r="J35" s="2643">
        <v>0.28999999999999998</v>
      </c>
      <c r="K35" s="2643">
        <v>-0.01</v>
      </c>
      <c r="L35" s="2644">
        <v>0.57999999999999996</v>
      </c>
      <c r="N35" s="2627">
        <f t="shared" si="20"/>
        <v>8.9999999999999998E-4</v>
      </c>
      <c r="O35" s="2628">
        <f t="shared" si="20"/>
        <v>2.8999999999999998E-3</v>
      </c>
      <c r="P35" s="2628">
        <f t="shared" si="20"/>
        <v>-1E-4</v>
      </c>
      <c r="Q35" s="2628">
        <f t="shared" si="20"/>
        <v>5.7999999999999996E-3</v>
      </c>
      <c r="R35" s="2629"/>
      <c r="S35" s="2627"/>
      <c r="T35" s="2628"/>
      <c r="U35" s="2628"/>
      <c r="V35" s="2628"/>
    </row>
    <row r="36" spans="1:26">
      <c r="A36" s="2619" t="s">
        <v>2584</v>
      </c>
      <c r="B36" s="2632">
        <f>B35/(1+N35)</f>
        <v>275.24529281292263</v>
      </c>
      <c r="C36" s="2632">
        <f>C35/(1+O35)</f>
        <v>231.74747938962707</v>
      </c>
      <c r="D36" s="2632">
        <f t="shared" si="18"/>
        <v>231.74747938962707</v>
      </c>
      <c r="E36" s="2632">
        <f t="shared" si="27"/>
        <v>375.35938184826603</v>
      </c>
      <c r="F36" s="2632">
        <f t="shared" si="27"/>
        <v>216.78033510692495</v>
      </c>
      <c r="G36" s="3480"/>
      <c r="H36" s="2623">
        <v>2</v>
      </c>
      <c r="I36" s="2623">
        <v>0.02</v>
      </c>
      <c r="J36" s="2623">
        <v>0.12</v>
      </c>
      <c r="K36" s="2623">
        <v>-0.08</v>
      </c>
      <c r="L36" s="2634">
        <v>1.24</v>
      </c>
      <c r="N36" s="2627">
        <f t="shared" si="20"/>
        <v>2.0000000000000001E-4</v>
      </c>
      <c r="O36" s="2628">
        <f t="shared" si="20"/>
        <v>1.1999999999999999E-3</v>
      </c>
      <c r="P36" s="2628">
        <f t="shared" si="20"/>
        <v>-8.0000000000000004E-4</v>
      </c>
      <c r="Q36" s="2628">
        <f t="shared" si="20"/>
        <v>1.24E-2</v>
      </c>
      <c r="R36" s="2629"/>
      <c r="S36" s="2627"/>
      <c r="T36" s="2628"/>
      <c r="U36" s="2628"/>
      <c r="V36" s="2628"/>
    </row>
    <row r="37" spans="1:26" ht="13.5" thickBot="1">
      <c r="A37" s="2619" t="s">
        <v>2585</v>
      </c>
      <c r="B37" s="2632">
        <f>B36/(1+N36)</f>
        <v>275.19025476197027</v>
      </c>
      <c r="C37" s="2664">
        <v>232</v>
      </c>
      <c r="D37" s="2664">
        <f t="shared" si="18"/>
        <v>232</v>
      </c>
      <c r="E37" s="2632">
        <f t="shared" si="27"/>
        <v>375.65990977608692</v>
      </c>
      <c r="F37" s="2632">
        <f t="shared" si="27"/>
        <v>214.12518283971252</v>
      </c>
      <c r="G37" s="3481"/>
      <c r="H37" s="2622">
        <v>1</v>
      </c>
      <c r="I37" s="2622">
        <v>0.02</v>
      </c>
      <c r="J37" s="2622">
        <v>0.13</v>
      </c>
      <c r="K37" s="2622">
        <v>-0.04</v>
      </c>
      <c r="L37" s="2633">
        <v>0.46</v>
      </c>
      <c r="N37" s="2627">
        <f t="shared" si="20"/>
        <v>2.0000000000000001E-4</v>
      </c>
      <c r="O37" s="2628">
        <f t="shared" si="20"/>
        <v>1.2999999999999999E-3</v>
      </c>
      <c r="P37" s="2628">
        <f t="shared" si="20"/>
        <v>-4.0000000000000002E-4</v>
      </c>
      <c r="Q37" s="2628">
        <f t="shared" si="20"/>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2586</v>
      </c>
      <c r="B38" s="2624">
        <v>275</v>
      </c>
      <c r="C38" s="2624">
        <v>232</v>
      </c>
      <c r="D38" s="2624">
        <f t="shared" si="18"/>
        <v>232</v>
      </c>
      <c r="E38" s="2624">
        <v>376</v>
      </c>
      <c r="F38" s="2625">
        <v>213</v>
      </c>
      <c r="G38" s="3479">
        <v>2011</v>
      </c>
      <c r="H38" s="2638">
        <v>4</v>
      </c>
      <c r="I38" s="2638">
        <v>-0.2</v>
      </c>
      <c r="J38" s="2638">
        <v>0.04</v>
      </c>
      <c r="K38" s="2638">
        <v>-0.34</v>
      </c>
      <c r="L38" s="2639">
        <v>0.46</v>
      </c>
      <c r="N38" s="2640">
        <f t="shared" si="20"/>
        <v>-2E-3</v>
      </c>
      <c r="O38" s="2641">
        <f t="shared" si="20"/>
        <v>4.0000000000000002E-4</v>
      </c>
      <c r="P38" s="2641">
        <f t="shared" si="20"/>
        <v>-3.4000000000000002E-3</v>
      </c>
      <c r="Q38" s="2641">
        <f t="shared" si="20"/>
        <v>4.5999999999999999E-3</v>
      </c>
      <c r="R38" s="2629"/>
      <c r="S38" s="2630"/>
      <c r="T38" s="2631"/>
      <c r="U38" s="2631"/>
      <c r="V38" s="2631"/>
      <c r="X38" s="2631"/>
      <c r="Y38" s="2631"/>
      <c r="Z38" s="2631"/>
    </row>
    <row r="39" spans="1:26">
      <c r="A39" s="2619" t="s">
        <v>2587</v>
      </c>
      <c r="B39" s="2632">
        <f t="shared" ref="B39:C41" si="28">B38/(1+N38)</f>
        <v>275.55110220440883</v>
      </c>
      <c r="C39" s="2632">
        <f t="shared" si="28"/>
        <v>231.90723710515795</v>
      </c>
      <c r="D39" s="2632">
        <f t="shared" si="18"/>
        <v>231.90723710515795</v>
      </c>
      <c r="E39" s="2632">
        <f t="shared" ref="E39:F41" si="29">E38/(1+P38)</f>
        <v>377.28276138872161</v>
      </c>
      <c r="F39" s="2632">
        <f t="shared" si="29"/>
        <v>212.02468644236512</v>
      </c>
      <c r="G39" s="3480">
        <v>2011</v>
      </c>
      <c r="H39" s="2643">
        <v>3</v>
      </c>
      <c r="I39" s="2643">
        <v>0.13</v>
      </c>
      <c r="J39" s="2643">
        <v>0.75</v>
      </c>
      <c r="K39" s="2643">
        <v>-0.08</v>
      </c>
      <c r="L39" s="2644">
        <v>0.53</v>
      </c>
      <c r="N39" s="2627">
        <f t="shared" si="20"/>
        <v>1.2999999999999999E-3</v>
      </c>
      <c r="O39" s="2645">
        <f t="shared" si="20"/>
        <v>7.4999999999999997E-3</v>
      </c>
      <c r="P39" s="2645">
        <f t="shared" si="20"/>
        <v>-8.0000000000000004E-4</v>
      </c>
      <c r="Q39" s="2645">
        <f t="shared" si="20"/>
        <v>5.3E-3</v>
      </c>
      <c r="R39" s="2629"/>
      <c r="S39" s="2627"/>
      <c r="T39" s="2628"/>
      <c r="U39" s="2628"/>
      <c r="V39" s="2628"/>
    </row>
    <row r="40" spans="1:26">
      <c r="A40" s="2619" t="s">
        <v>2588</v>
      </c>
      <c r="B40" s="2632">
        <f t="shared" si="28"/>
        <v>275.19335084830601</v>
      </c>
      <c r="C40" s="2632">
        <f t="shared" si="28"/>
        <v>230.18088050139744</v>
      </c>
      <c r="D40" s="2632">
        <f t="shared" si="18"/>
        <v>230.18088050139744</v>
      </c>
      <c r="E40" s="2632">
        <f t="shared" si="29"/>
        <v>377.58482925212331</v>
      </c>
      <c r="F40" s="2632">
        <f t="shared" si="29"/>
        <v>210.90687997847917</v>
      </c>
      <c r="G40" s="3480">
        <v>2011</v>
      </c>
      <c r="H40" s="2623">
        <v>2</v>
      </c>
      <c r="I40" s="2623">
        <v>-0.4</v>
      </c>
      <c r="J40" s="2623">
        <v>0.17</v>
      </c>
      <c r="K40" s="2623">
        <v>-0.57999999999999996</v>
      </c>
      <c r="L40" s="2634">
        <v>-0.2</v>
      </c>
      <c r="N40" s="2627">
        <f t="shared" si="20"/>
        <v>-4.0000000000000001E-3</v>
      </c>
      <c r="O40" s="2645">
        <f t="shared" si="20"/>
        <v>1.7000000000000001E-3</v>
      </c>
      <c r="P40" s="2645">
        <f t="shared" si="20"/>
        <v>-5.7999999999999996E-3</v>
      </c>
      <c r="Q40" s="2645">
        <f t="shared" si="20"/>
        <v>-2E-3</v>
      </c>
      <c r="R40" s="2629"/>
      <c r="S40" s="2627"/>
      <c r="T40" s="2628"/>
      <c r="U40" s="2628"/>
      <c r="V40" s="2628"/>
    </row>
    <row r="41" spans="1:26" ht="13.5" thickBot="1">
      <c r="A41" s="2619" t="s">
        <v>2589</v>
      </c>
      <c r="B41" s="2632">
        <f t="shared" si="28"/>
        <v>276.29854502841971</v>
      </c>
      <c r="C41" s="2632">
        <f t="shared" si="28"/>
        <v>229.79023709833027</v>
      </c>
      <c r="D41" s="2632">
        <f t="shared" si="18"/>
        <v>229.79023709833027</v>
      </c>
      <c r="E41" s="2632">
        <f t="shared" si="29"/>
        <v>379.78759731655936</v>
      </c>
      <c r="F41" s="2632">
        <f t="shared" si="29"/>
        <v>211.32953905659235</v>
      </c>
      <c r="G41" s="3481">
        <v>2011</v>
      </c>
      <c r="H41" s="2622">
        <v>1</v>
      </c>
      <c r="I41" s="2622">
        <v>2.65</v>
      </c>
      <c r="J41" s="2622">
        <v>3.76</v>
      </c>
      <c r="K41" s="2622">
        <v>1.89</v>
      </c>
      <c r="L41" s="2633">
        <v>7.95</v>
      </c>
      <c r="N41" s="2635">
        <f t="shared" si="20"/>
        <v>2.6499999999999999E-2</v>
      </c>
      <c r="O41" s="2636">
        <f t="shared" si="20"/>
        <v>3.7599999999999995E-2</v>
      </c>
      <c r="P41" s="2636">
        <f t="shared" si="20"/>
        <v>1.89E-2</v>
      </c>
      <c r="Q41" s="2636">
        <f t="shared" si="20"/>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2590</v>
      </c>
      <c r="B42" s="2624">
        <v>269</v>
      </c>
      <c r="C42" s="2624">
        <v>221</v>
      </c>
      <c r="D42" s="2624">
        <f t="shared" si="18"/>
        <v>221</v>
      </c>
      <c r="E42" s="2624">
        <v>373</v>
      </c>
      <c r="F42" s="2625">
        <v>196</v>
      </c>
      <c r="G42" s="3479">
        <v>2010</v>
      </c>
      <c r="H42" s="2638">
        <v>4</v>
      </c>
      <c r="I42" s="2638">
        <v>5.72</v>
      </c>
      <c r="J42" s="2638">
        <v>6.57</v>
      </c>
      <c r="K42" s="2638">
        <v>5.72</v>
      </c>
      <c r="L42" s="2639">
        <v>2.72</v>
      </c>
      <c r="N42" s="2627">
        <f t="shared" si="20"/>
        <v>5.7200000000000001E-2</v>
      </c>
      <c r="O42" s="2628">
        <f t="shared" si="20"/>
        <v>6.5700000000000008E-2</v>
      </c>
      <c r="P42" s="2628">
        <f t="shared" si="20"/>
        <v>5.7200000000000001E-2</v>
      </c>
      <c r="Q42" s="2628">
        <f t="shared" si="20"/>
        <v>2.7200000000000002E-2</v>
      </c>
      <c r="R42" s="2629"/>
      <c r="S42" s="2630"/>
      <c r="T42" s="2631"/>
      <c r="U42" s="2631"/>
      <c r="V42" s="2631"/>
      <c r="X42" s="2631"/>
      <c r="Y42" s="2631"/>
      <c r="Z42" s="2631"/>
    </row>
    <row r="43" spans="1:26">
      <c r="A43" s="2619" t="s">
        <v>2591</v>
      </c>
      <c r="B43" s="2632">
        <f t="shared" ref="B43:C45" si="30">B42/(1+N42)</f>
        <v>254.44570563753314</v>
      </c>
      <c r="C43" s="2632">
        <f t="shared" si="30"/>
        <v>207.37543398705074</v>
      </c>
      <c r="D43" s="2632">
        <f t="shared" si="18"/>
        <v>207.37543398705074</v>
      </c>
      <c r="E43" s="2632">
        <f t="shared" ref="E43:F45" si="31">E42/(1+P42)</f>
        <v>352.81876655315932</v>
      </c>
      <c r="F43" s="2632">
        <f t="shared" si="31"/>
        <v>190.809968847352</v>
      </c>
      <c r="G43" s="3480">
        <v>2010</v>
      </c>
      <c r="H43" s="2643">
        <v>3</v>
      </c>
      <c r="I43" s="2643">
        <v>4.7300000000000004</v>
      </c>
      <c r="J43" s="2643">
        <v>3.9</v>
      </c>
      <c r="K43" s="2643">
        <v>5.03</v>
      </c>
      <c r="L43" s="2644">
        <v>4.21</v>
      </c>
      <c r="N43" s="2627">
        <f t="shared" si="20"/>
        <v>4.7300000000000002E-2</v>
      </c>
      <c r="O43" s="2628">
        <f t="shared" si="20"/>
        <v>3.9E-2</v>
      </c>
      <c r="P43" s="2628">
        <f t="shared" si="20"/>
        <v>5.0300000000000004E-2</v>
      </c>
      <c r="Q43" s="2628">
        <f t="shared" si="20"/>
        <v>4.2099999999999999E-2</v>
      </c>
      <c r="R43" s="2629"/>
      <c r="S43" s="2627"/>
      <c r="T43" s="2628"/>
      <c r="U43" s="2628"/>
      <c r="V43" s="2628"/>
    </row>
    <row r="44" spans="1:26">
      <c r="A44" s="2619" t="s">
        <v>2592</v>
      </c>
      <c r="B44" s="2632">
        <f t="shared" si="30"/>
        <v>242.95398227588385</v>
      </c>
      <c r="C44" s="2632">
        <f t="shared" si="30"/>
        <v>199.59137053614126</v>
      </c>
      <c r="D44" s="2632">
        <f t="shared" si="18"/>
        <v>199.59137053614126</v>
      </c>
      <c r="E44" s="2632">
        <f t="shared" si="31"/>
        <v>335.92189522342125</v>
      </c>
      <c r="F44" s="2632">
        <f t="shared" si="31"/>
        <v>183.10139991109489</v>
      </c>
      <c r="G44" s="3480">
        <v>2010</v>
      </c>
      <c r="H44" s="2623">
        <v>2</v>
      </c>
      <c r="I44" s="2623">
        <v>4.6900000000000004</v>
      </c>
      <c r="J44" s="2623">
        <v>3.55</v>
      </c>
      <c r="K44" s="2623">
        <v>5.07</v>
      </c>
      <c r="L44" s="2634">
        <v>4.2300000000000004</v>
      </c>
      <c r="N44" s="2627">
        <f t="shared" si="20"/>
        <v>4.6900000000000004E-2</v>
      </c>
      <c r="O44" s="2628">
        <f t="shared" si="20"/>
        <v>3.5499999999999997E-2</v>
      </c>
      <c r="P44" s="2628">
        <f t="shared" si="20"/>
        <v>5.0700000000000002E-2</v>
      </c>
      <c r="Q44" s="2628">
        <f t="shared" si="20"/>
        <v>4.2300000000000004E-2</v>
      </c>
      <c r="R44" s="2629"/>
      <c r="S44" s="2627"/>
      <c r="T44" s="2628"/>
      <c r="U44" s="2628"/>
      <c r="V44" s="2628"/>
    </row>
    <row r="45" spans="1:26" ht="13.5" thickBot="1">
      <c r="A45" s="2619" t="s">
        <v>2593</v>
      </c>
      <c r="B45" s="2632">
        <f t="shared" si="30"/>
        <v>232.06990378821649</v>
      </c>
      <c r="C45" s="2632">
        <f t="shared" si="30"/>
        <v>192.74878854286936</v>
      </c>
      <c r="D45" s="2632">
        <f t="shared" si="18"/>
        <v>192.74878854286936</v>
      </c>
      <c r="E45" s="2632">
        <f t="shared" si="31"/>
        <v>319.71247284992984</v>
      </c>
      <c r="F45" s="2632">
        <f t="shared" si="31"/>
        <v>175.67053622862409</v>
      </c>
      <c r="G45" s="3481">
        <v>2010</v>
      </c>
      <c r="H45" s="2622">
        <v>1</v>
      </c>
      <c r="I45" s="2622">
        <v>5.4</v>
      </c>
      <c r="J45" s="2622">
        <v>3.2</v>
      </c>
      <c r="K45" s="2622">
        <v>6.16</v>
      </c>
      <c r="L45" s="2633">
        <v>4.51</v>
      </c>
      <c r="N45" s="2627">
        <f t="shared" si="20"/>
        <v>5.4000000000000006E-2</v>
      </c>
      <c r="O45" s="2628">
        <f t="shared" si="20"/>
        <v>3.2000000000000001E-2</v>
      </c>
      <c r="P45" s="2628">
        <f t="shared" si="20"/>
        <v>6.1600000000000002E-2</v>
      </c>
      <c r="Q45" s="2628">
        <f t="shared" si="20"/>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2594</v>
      </c>
      <c r="B46" s="2624">
        <v>220</v>
      </c>
      <c r="C46" s="2624">
        <v>187</v>
      </c>
      <c r="D46" s="2624">
        <f t="shared" si="18"/>
        <v>187</v>
      </c>
      <c r="E46" s="2624">
        <v>301</v>
      </c>
      <c r="F46" s="2625">
        <v>168</v>
      </c>
      <c r="G46" s="3479">
        <v>2009</v>
      </c>
      <c r="H46" s="2638">
        <v>4</v>
      </c>
      <c r="I46" s="2638">
        <v>2.2999999999999998</v>
      </c>
      <c r="J46" s="2638">
        <v>1.04</v>
      </c>
      <c r="K46" s="2638">
        <v>2.84</v>
      </c>
      <c r="L46" s="2639">
        <v>0.67</v>
      </c>
      <c r="N46" s="2640">
        <f t="shared" si="20"/>
        <v>2.3E-2</v>
      </c>
      <c r="O46" s="2641">
        <f t="shared" si="20"/>
        <v>1.04E-2</v>
      </c>
      <c r="P46" s="2641">
        <f t="shared" si="20"/>
        <v>2.8399999999999998E-2</v>
      </c>
      <c r="Q46" s="2641">
        <f t="shared" si="20"/>
        <v>6.7000000000000002E-3</v>
      </c>
      <c r="R46" s="2629"/>
      <c r="S46" s="2630"/>
      <c r="T46" s="2631"/>
      <c r="U46" s="2631"/>
      <c r="V46" s="2631"/>
      <c r="X46" s="2631"/>
      <c r="Y46" s="2631"/>
      <c r="Z46" s="2631"/>
    </row>
    <row r="47" spans="1:26">
      <c r="A47" s="2619" t="s">
        <v>2595</v>
      </c>
      <c r="B47" s="2632">
        <f t="shared" ref="B47:C49" si="32">B46/(1+N46)</f>
        <v>215.05376344086022</v>
      </c>
      <c r="C47" s="2632">
        <f t="shared" si="32"/>
        <v>185.0752177355503</v>
      </c>
      <c r="D47" s="2632">
        <f t="shared" si="18"/>
        <v>185.0752177355503</v>
      </c>
      <c r="E47" s="2632">
        <f t="shared" ref="E47:F49" si="33">E46/(1+P46)</f>
        <v>292.68767016725008</v>
      </c>
      <c r="F47" s="2632">
        <f t="shared" si="33"/>
        <v>166.88189132810174</v>
      </c>
      <c r="G47" s="3480">
        <v>2009</v>
      </c>
      <c r="H47" s="2643">
        <v>3</v>
      </c>
      <c r="I47" s="2643">
        <v>2.1</v>
      </c>
      <c r="J47" s="2643">
        <v>1.86</v>
      </c>
      <c r="K47" s="2643">
        <v>2.29</v>
      </c>
      <c r="L47" s="2644">
        <v>0.85</v>
      </c>
      <c r="N47" s="2627">
        <f t="shared" si="20"/>
        <v>2.1000000000000001E-2</v>
      </c>
      <c r="O47" s="2645">
        <f t="shared" si="20"/>
        <v>1.8600000000000002E-2</v>
      </c>
      <c r="P47" s="2645">
        <f t="shared" si="20"/>
        <v>2.29E-2</v>
      </c>
      <c r="Q47" s="2645">
        <f t="shared" si="20"/>
        <v>8.5000000000000006E-3</v>
      </c>
      <c r="R47" s="2629"/>
      <c r="S47" s="2627"/>
      <c r="T47" s="2628"/>
      <c r="U47" s="2628"/>
      <c r="V47" s="2628"/>
    </row>
    <row r="48" spans="1:26">
      <c r="A48" s="2619" t="s">
        <v>2596</v>
      </c>
      <c r="B48" s="2632">
        <f t="shared" si="32"/>
        <v>210.630522469011</v>
      </c>
      <c r="C48" s="2632">
        <f t="shared" si="32"/>
        <v>181.69567812247232</v>
      </c>
      <c r="D48" s="2632">
        <f t="shared" si="18"/>
        <v>181.69567812247232</v>
      </c>
      <c r="E48" s="2632">
        <f t="shared" si="33"/>
        <v>286.13517466736738</v>
      </c>
      <c r="F48" s="2632">
        <f t="shared" si="33"/>
        <v>165.47535084591149</v>
      </c>
      <c r="G48" s="3480">
        <v>2009</v>
      </c>
      <c r="H48" s="2623">
        <v>2</v>
      </c>
      <c r="I48" s="2623">
        <v>0.86</v>
      </c>
      <c r="J48" s="2623">
        <v>-1.1299999999999999</v>
      </c>
      <c r="K48" s="2623">
        <v>1.79</v>
      </c>
      <c r="L48" s="2634">
        <v>-2.0699999999999998</v>
      </c>
      <c r="N48" s="2627">
        <f t="shared" si="20"/>
        <v>8.6E-3</v>
      </c>
      <c r="O48" s="2645">
        <f t="shared" si="20"/>
        <v>-1.1299999999999999E-2</v>
      </c>
      <c r="P48" s="2645">
        <f t="shared" si="20"/>
        <v>1.7899999999999999E-2</v>
      </c>
      <c r="Q48" s="2645">
        <f t="shared" si="20"/>
        <v>-2.07E-2</v>
      </c>
      <c r="R48" s="2629"/>
      <c r="S48" s="2627"/>
      <c r="T48" s="2628"/>
      <c r="U48" s="2628"/>
      <c r="V48" s="2628"/>
    </row>
    <row r="49" spans="1:26">
      <c r="A49" s="2619" t="s">
        <v>2597</v>
      </c>
      <c r="B49" s="2632">
        <f t="shared" si="32"/>
        <v>208.83454537875372</v>
      </c>
      <c r="C49" s="2632">
        <f t="shared" si="32"/>
        <v>183.77230517090351</v>
      </c>
      <c r="D49" s="2632">
        <f t="shared" si="18"/>
        <v>183.77230517090351</v>
      </c>
      <c r="E49" s="2632">
        <f t="shared" si="33"/>
        <v>281.10342338870947</v>
      </c>
      <c r="F49" s="2632">
        <f t="shared" si="33"/>
        <v>168.97309388942256</v>
      </c>
      <c r="G49" s="3481">
        <v>2009</v>
      </c>
      <c r="H49" s="2622">
        <v>1</v>
      </c>
      <c r="I49" s="2622">
        <v>-2.64</v>
      </c>
      <c r="J49" s="2622">
        <v>-2.5299999999999998</v>
      </c>
      <c r="K49" s="2622">
        <v>-3.02</v>
      </c>
      <c r="L49" s="2633">
        <v>1.52</v>
      </c>
      <c r="N49" s="2635">
        <f t="shared" si="20"/>
        <v>-2.64E-2</v>
      </c>
      <c r="O49" s="2636">
        <f t="shared" si="20"/>
        <v>-2.53E-2</v>
      </c>
      <c r="P49" s="2636">
        <f t="shared" si="20"/>
        <v>-3.0200000000000001E-2</v>
      </c>
      <c r="Q49" s="2636">
        <f t="shared" si="20"/>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2598</v>
      </c>
      <c r="B50" s="2662">
        <v>214</v>
      </c>
      <c r="C50" s="2662">
        <v>188</v>
      </c>
      <c r="D50" s="2662">
        <f t="shared" si="18"/>
        <v>188</v>
      </c>
      <c r="E50" s="2662">
        <v>289</v>
      </c>
      <c r="F50" s="2663">
        <v>166</v>
      </c>
      <c r="G50" s="3479">
        <v>2008</v>
      </c>
      <c r="H50" s="2638">
        <v>4</v>
      </c>
      <c r="I50" s="2638">
        <v>1.73</v>
      </c>
      <c r="J50" s="2638">
        <v>0.03</v>
      </c>
      <c r="K50" s="2638">
        <v>2.59</v>
      </c>
      <c r="L50" s="2639">
        <v>-1.66</v>
      </c>
      <c r="N50" s="2627">
        <f t="shared" si="20"/>
        <v>1.7299999999999999E-2</v>
      </c>
      <c r="O50" s="2628">
        <f t="shared" si="20"/>
        <v>2.9999999999999997E-4</v>
      </c>
      <c r="P50" s="2628">
        <f t="shared" si="20"/>
        <v>2.5899999999999999E-2</v>
      </c>
      <c r="Q50" s="2628">
        <f t="shared" si="20"/>
        <v>-1.66E-2</v>
      </c>
      <c r="R50" s="2629"/>
      <c r="S50" s="2630"/>
      <c r="T50" s="2631"/>
      <c r="U50" s="2631"/>
      <c r="V50" s="2631"/>
      <c r="X50" s="2631"/>
      <c r="Y50" s="2631"/>
      <c r="Z50" s="2631"/>
    </row>
    <row r="51" spans="1:26">
      <c r="A51" s="2619" t="s">
        <v>2599</v>
      </c>
      <c r="B51" s="2632">
        <f t="shared" ref="B51:C53" si="34">B50/(1+N50)</f>
        <v>210.36075887152265</v>
      </c>
      <c r="C51" s="2632">
        <f t="shared" si="34"/>
        <v>187.94361691492554</v>
      </c>
      <c r="D51" s="2632">
        <f t="shared" si="18"/>
        <v>187.94361691492554</v>
      </c>
      <c r="E51" s="2632">
        <f t="shared" ref="E51:F53" si="35">E50/(1+P50)</f>
        <v>281.70386977288234</v>
      </c>
      <c r="F51" s="2632">
        <f t="shared" si="35"/>
        <v>168.80211511083994</v>
      </c>
      <c r="G51" s="3480">
        <v>2008</v>
      </c>
      <c r="H51" s="2643">
        <v>3</v>
      </c>
      <c r="I51" s="2643">
        <v>1.96</v>
      </c>
      <c r="J51" s="2643">
        <v>2.36</v>
      </c>
      <c r="K51" s="2643">
        <v>1.82</v>
      </c>
      <c r="L51" s="2644">
        <v>2.2200000000000002</v>
      </c>
      <c r="N51" s="2627">
        <f t="shared" si="20"/>
        <v>1.9599999999999999E-2</v>
      </c>
      <c r="O51" s="2628">
        <f t="shared" si="20"/>
        <v>2.3599999999999999E-2</v>
      </c>
      <c r="P51" s="2628">
        <f t="shared" si="20"/>
        <v>1.8200000000000001E-2</v>
      </c>
      <c r="Q51" s="2628">
        <f t="shared" si="20"/>
        <v>2.2200000000000001E-2</v>
      </c>
      <c r="R51" s="2629"/>
      <c r="S51" s="2627"/>
      <c r="T51" s="2628"/>
      <c r="U51" s="2628"/>
      <c r="V51" s="2628"/>
    </row>
    <row r="52" spans="1:26">
      <c r="A52" s="2619" t="s">
        <v>2600</v>
      </c>
      <c r="B52" s="2632">
        <f t="shared" si="34"/>
        <v>206.31694671589116</v>
      </c>
      <c r="C52" s="2632">
        <f t="shared" si="34"/>
        <v>183.61041121036101</v>
      </c>
      <c r="D52" s="2632">
        <f t="shared" si="18"/>
        <v>183.61041121036101</v>
      </c>
      <c r="E52" s="2632">
        <f t="shared" si="35"/>
        <v>276.66850301795557</v>
      </c>
      <c r="F52" s="2632">
        <f t="shared" si="35"/>
        <v>165.1360938278614</v>
      </c>
      <c r="G52" s="3480">
        <v>2008</v>
      </c>
      <c r="H52" s="2623">
        <v>2</v>
      </c>
      <c r="I52" s="2623">
        <v>4.93</v>
      </c>
      <c r="J52" s="2623">
        <v>7.38</v>
      </c>
      <c r="K52" s="2623">
        <v>3.98</v>
      </c>
      <c r="L52" s="2634">
        <v>6.86</v>
      </c>
      <c r="N52" s="2627">
        <f t="shared" si="20"/>
        <v>4.9299999999999997E-2</v>
      </c>
      <c r="O52" s="2628">
        <f t="shared" si="20"/>
        <v>7.3800000000000004E-2</v>
      </c>
      <c r="P52" s="2628">
        <f t="shared" si="20"/>
        <v>3.9800000000000002E-2</v>
      </c>
      <c r="Q52" s="2628">
        <f t="shared" si="20"/>
        <v>6.8600000000000008E-2</v>
      </c>
      <c r="R52" s="2629"/>
      <c r="S52" s="2627"/>
      <c r="T52" s="2628"/>
      <c r="U52" s="2628"/>
      <c r="V52" s="2628"/>
    </row>
    <row r="53" spans="1:26" s="2668" customFormat="1" ht="13.5" thickBot="1">
      <c r="A53" s="2619" t="s">
        <v>2601</v>
      </c>
      <c r="B53" s="2665">
        <f t="shared" si="34"/>
        <v>196.62341248059772</v>
      </c>
      <c r="C53" s="2665">
        <f t="shared" si="34"/>
        <v>170.99125648199012</v>
      </c>
      <c r="D53" s="2665">
        <f t="shared" si="18"/>
        <v>170.99125648199012</v>
      </c>
      <c r="E53" s="2665">
        <f t="shared" si="35"/>
        <v>266.07857570490052</v>
      </c>
      <c r="F53" s="2665">
        <f t="shared" si="35"/>
        <v>154.53499328828505</v>
      </c>
      <c r="G53" s="3481">
        <v>2008</v>
      </c>
      <c r="H53" s="2666">
        <v>1</v>
      </c>
      <c r="I53" s="2666">
        <v>4.1399999999999997</v>
      </c>
      <c r="J53" s="2666">
        <v>3.45</v>
      </c>
      <c r="K53" s="2666">
        <v>4.95</v>
      </c>
      <c r="L53" s="2667">
        <v>4.82</v>
      </c>
      <c r="N53" s="2669">
        <f t="shared" si="20"/>
        <v>4.1399999999999999E-2</v>
      </c>
      <c r="O53" s="2670">
        <f t="shared" si="20"/>
        <v>3.4500000000000003E-2</v>
      </c>
      <c r="P53" s="2670">
        <f t="shared" si="20"/>
        <v>4.9500000000000002E-2</v>
      </c>
      <c r="Q53" s="2670">
        <f t="shared" si="20"/>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2602</v>
      </c>
      <c r="B54" s="2624">
        <v>188</v>
      </c>
      <c r="C54" s="2624">
        <v>165</v>
      </c>
      <c r="D54" s="2624">
        <f t="shared" si="18"/>
        <v>165</v>
      </c>
      <c r="E54" s="2624">
        <v>254</v>
      </c>
      <c r="F54" s="2625">
        <v>148</v>
      </c>
      <c r="G54" s="3479">
        <v>2007</v>
      </c>
      <c r="H54" s="2673">
        <v>4</v>
      </c>
      <c r="I54" s="2673">
        <v>5.51</v>
      </c>
      <c r="J54" s="2673">
        <v>4.8899999999999997</v>
      </c>
      <c r="K54" s="2673">
        <v>6.43</v>
      </c>
      <c r="L54" s="2674">
        <v>5.36</v>
      </c>
      <c r="N54" s="2675">
        <f t="shared" ref="N54:O57" si="36">B54/B55-1</f>
        <v>4.1339718365245526E-2</v>
      </c>
      <c r="O54" s="2676">
        <f t="shared" si="36"/>
        <v>4.0324492593776018E-2</v>
      </c>
      <c r="P54" s="2676">
        <f t="shared" ref="P54:Q57" si="37">E54/E55-1</f>
        <v>6.1625555347990968E-2</v>
      </c>
      <c r="Q54" s="2676">
        <f t="shared" si="37"/>
        <v>4.6757569250590603E-2</v>
      </c>
      <c r="R54" s="2629"/>
      <c r="S54" s="2630"/>
      <c r="T54" s="2631"/>
      <c r="U54" s="2631"/>
      <c r="V54" s="2631"/>
      <c r="X54" s="2631"/>
      <c r="Y54" s="2631"/>
      <c r="Z54" s="2631"/>
    </row>
    <row r="55" spans="1:26">
      <c r="A55" s="2619" t="s">
        <v>2603</v>
      </c>
      <c r="B55" s="2632">
        <f t="shared" ref="B55:C57" si="38">B56+(B$54-B$58)*I55/SUM(I$54:I$57)</f>
        <v>180.5366651097618</v>
      </c>
      <c r="C55" s="2632">
        <f t="shared" si="38"/>
        <v>158.60435967302453</v>
      </c>
      <c r="D55" s="2632">
        <f t="shared" si="18"/>
        <v>158.60435967302453</v>
      </c>
      <c r="E55" s="2632">
        <f t="shared" ref="E55:F57" si="39">E56+(E$54-E$58)*K55/SUM(K$54:K$57)</f>
        <v>239.25573260785075</v>
      </c>
      <c r="F55" s="2632">
        <f t="shared" si="39"/>
        <v>141.38899430740037</v>
      </c>
      <c r="G55" s="3480">
        <v>2007</v>
      </c>
      <c r="H55" s="2643">
        <v>3</v>
      </c>
      <c r="I55" s="2643">
        <v>8.65</v>
      </c>
      <c r="J55" s="2643">
        <v>8.06</v>
      </c>
      <c r="K55" s="2643">
        <v>9.94</v>
      </c>
      <c r="L55" s="2644">
        <v>5.8</v>
      </c>
      <c r="N55" s="2675">
        <f t="shared" si="36"/>
        <v>6.940217571740015E-2</v>
      </c>
      <c r="O55" s="2676">
        <f t="shared" si="36"/>
        <v>7.1197482471153428E-2</v>
      </c>
      <c r="P55" s="2676">
        <f t="shared" si="37"/>
        <v>0.10529679922579582</v>
      </c>
      <c r="Q55" s="2676">
        <f t="shared" si="37"/>
        <v>5.3292245059512133E-2</v>
      </c>
      <c r="R55" s="2629"/>
      <c r="S55" s="2627"/>
      <c r="T55" s="2628"/>
      <c r="U55" s="2628"/>
      <c r="V55" s="2628"/>
      <c r="X55" s="2677"/>
      <c r="Y55" s="2677"/>
      <c r="Z55" s="2677"/>
    </row>
    <row r="56" spans="1:26">
      <c r="A56" s="2619" t="s">
        <v>2604</v>
      </c>
      <c r="B56" s="2632">
        <f t="shared" si="38"/>
        <v>168.82017748715555</v>
      </c>
      <c r="C56" s="2632">
        <f t="shared" si="38"/>
        <v>148.06267029972753</v>
      </c>
      <c r="D56" s="2632">
        <f t="shared" si="18"/>
        <v>148.06267029972753</v>
      </c>
      <c r="E56" s="2632">
        <f t="shared" si="39"/>
        <v>216.46288379323747</v>
      </c>
      <c r="F56" s="2632">
        <f t="shared" si="39"/>
        <v>134.23529411764704</v>
      </c>
      <c r="G56" s="3480">
        <v>2007</v>
      </c>
      <c r="H56" s="2623">
        <v>2</v>
      </c>
      <c r="I56" s="2623">
        <v>3.67</v>
      </c>
      <c r="J56" s="2623">
        <v>2.3199999999999998</v>
      </c>
      <c r="K56" s="2623">
        <v>5.0199999999999996</v>
      </c>
      <c r="L56" s="2634">
        <v>6.71</v>
      </c>
      <c r="N56" s="2675">
        <f t="shared" si="36"/>
        <v>3.0339138143848032E-2</v>
      </c>
      <c r="O56" s="2676">
        <f t="shared" si="36"/>
        <v>2.0922341588790472E-2</v>
      </c>
      <c r="P56" s="2676">
        <f t="shared" si="37"/>
        <v>5.6164796592717003E-2</v>
      </c>
      <c r="Q56" s="2676">
        <f t="shared" si="37"/>
        <v>6.5704536723887319E-2</v>
      </c>
      <c r="R56" s="2629"/>
      <c r="S56" s="2627"/>
      <c r="T56" s="2628"/>
      <c r="U56" s="2628"/>
      <c r="V56" s="2628"/>
      <c r="X56" s="2677"/>
      <c r="Y56" s="2677"/>
      <c r="Z56" s="2677"/>
    </row>
    <row r="57" spans="1:26">
      <c r="A57" s="2619" t="s">
        <v>2605</v>
      </c>
      <c r="B57" s="2632">
        <f t="shared" si="38"/>
        <v>163.84913591779542</v>
      </c>
      <c r="C57" s="2632">
        <f t="shared" si="38"/>
        <v>145.0283378746594</v>
      </c>
      <c r="D57" s="2632">
        <f t="shared" si="18"/>
        <v>145.0283378746594</v>
      </c>
      <c r="E57" s="2632">
        <f t="shared" si="39"/>
        <v>204.95180722891567</v>
      </c>
      <c r="F57" s="2632">
        <f t="shared" si="39"/>
        <v>125.95920303605313</v>
      </c>
      <c r="G57" s="3481">
        <v>2007</v>
      </c>
      <c r="H57" s="2622">
        <v>1</v>
      </c>
      <c r="I57" s="2622">
        <v>3.58</v>
      </c>
      <c r="J57" s="2622">
        <v>3.08</v>
      </c>
      <c r="K57" s="2622">
        <v>4.34</v>
      </c>
      <c r="L57" s="2633">
        <v>3.21</v>
      </c>
      <c r="N57" s="2678">
        <f t="shared" si="36"/>
        <v>3.0497710174814063E-2</v>
      </c>
      <c r="O57" s="2679">
        <f t="shared" si="36"/>
        <v>2.8569772160704998E-2</v>
      </c>
      <c r="P57" s="2679">
        <f t="shared" si="37"/>
        <v>5.1034908866234296E-2</v>
      </c>
      <c r="Q57" s="2679">
        <f t="shared" si="37"/>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2606</v>
      </c>
      <c r="B58" s="2646">
        <v>159</v>
      </c>
      <c r="C58" s="2646">
        <v>141</v>
      </c>
      <c r="D58" s="2646">
        <f t="shared" si="18"/>
        <v>141</v>
      </c>
      <c r="E58" s="2646">
        <v>195</v>
      </c>
      <c r="F58" s="2647">
        <v>122</v>
      </c>
      <c r="G58" s="3479">
        <v>2006</v>
      </c>
      <c r="H58" s="2638">
        <v>4</v>
      </c>
      <c r="I58" s="2638">
        <v>3.79</v>
      </c>
      <c r="J58" s="2638">
        <v>2.21</v>
      </c>
      <c r="K58" s="2638">
        <v>5.65</v>
      </c>
      <c r="L58" s="2639">
        <v>5.41</v>
      </c>
      <c r="N58" s="2675">
        <f t="shared" ref="N58:O61" si="40">I58/SUM(I$58:I$61)*(B$58/B$62-1)</f>
        <v>7.245466462748526E-2</v>
      </c>
      <c r="O58" s="2676">
        <f t="shared" si="40"/>
        <v>2.3237230038062766E-2</v>
      </c>
      <c r="P58" s="2676">
        <f t="shared" ref="P58:Q61" si="41">K58/SUM(K$58:K$61)*(E$58/E$62-1)</f>
        <v>0.16146893866323722</v>
      </c>
      <c r="Q58" s="2676">
        <f t="shared" si="41"/>
        <v>5.0755230321793784E-2</v>
      </c>
      <c r="R58" s="2629"/>
      <c r="S58" s="2630"/>
      <c r="T58" s="2631"/>
      <c r="U58" s="2631"/>
      <c r="V58" s="2631"/>
      <c r="X58" s="2677"/>
      <c r="Y58" s="2677"/>
      <c r="Z58" s="2677"/>
    </row>
    <row r="59" spans="1:26">
      <c r="A59" s="2619" t="s">
        <v>2607</v>
      </c>
      <c r="B59" s="2632">
        <f t="shared" ref="B59:C61" si="42">B60+(B$58-B$62)*I59/SUM(I$58:I$61)</f>
        <v>149.00125628140702</v>
      </c>
      <c r="C59" s="2632">
        <f t="shared" si="42"/>
        <v>137.95592286501378</v>
      </c>
      <c r="D59" s="2632">
        <f t="shared" si="18"/>
        <v>137.95592286501378</v>
      </c>
      <c r="E59" s="2632">
        <f t="shared" ref="E59:F61" si="43">E60+(E$58-E$62)*K59/SUM(K$58:K$61)</f>
        <v>169.97231450719823</v>
      </c>
      <c r="F59" s="2632">
        <f t="shared" si="43"/>
        <v>116.21390374331551</v>
      </c>
      <c r="G59" s="3480">
        <v>2006</v>
      </c>
      <c r="H59" s="2643">
        <v>3</v>
      </c>
      <c r="I59" s="2643">
        <v>0.92</v>
      </c>
      <c r="J59" s="2643">
        <v>1.08</v>
      </c>
      <c r="K59" s="2643">
        <v>0.73</v>
      </c>
      <c r="L59" s="2644">
        <v>1.08</v>
      </c>
      <c r="N59" s="2675">
        <f t="shared" si="40"/>
        <v>1.7587939698492462E-2</v>
      </c>
      <c r="O59" s="2676">
        <f t="shared" si="40"/>
        <v>1.1355750425840628E-2</v>
      </c>
      <c r="P59" s="2676">
        <f t="shared" si="41"/>
        <v>2.0862358446754544E-2</v>
      </c>
      <c r="Q59" s="2676">
        <f t="shared" si="41"/>
        <v>1.0132282578103011E-2</v>
      </c>
      <c r="R59" s="2629"/>
      <c r="S59" s="2627"/>
      <c r="T59" s="2628"/>
      <c r="U59" s="2628"/>
      <c r="V59" s="2628"/>
      <c r="X59" s="2677"/>
      <c r="Y59" s="2677"/>
      <c r="Z59" s="2677"/>
    </row>
    <row r="60" spans="1:26">
      <c r="A60" s="2619" t="s">
        <v>2608</v>
      </c>
      <c r="B60" s="2632">
        <f t="shared" si="42"/>
        <v>146.57412060301507</v>
      </c>
      <c r="C60" s="2632">
        <f t="shared" si="42"/>
        <v>136.46831955922866</v>
      </c>
      <c r="D60" s="2632">
        <f t="shared" si="18"/>
        <v>136.46831955922866</v>
      </c>
      <c r="E60" s="2632">
        <f t="shared" si="43"/>
        <v>166.73864894795128</v>
      </c>
      <c r="F60" s="2632">
        <f t="shared" si="43"/>
        <v>115.05882352941177</v>
      </c>
      <c r="G60" s="3480">
        <v>2006</v>
      </c>
      <c r="H60" s="2623">
        <v>2</v>
      </c>
      <c r="I60" s="2623">
        <v>0.96</v>
      </c>
      <c r="J60" s="2623">
        <v>0.25</v>
      </c>
      <c r="K60" s="2623">
        <v>1.9</v>
      </c>
      <c r="L60" s="2634">
        <v>0.95</v>
      </c>
      <c r="N60" s="2675">
        <f t="shared" si="40"/>
        <v>1.8352632728861701E-2</v>
      </c>
      <c r="O60" s="2676">
        <f t="shared" si="40"/>
        <v>2.6286459319075526E-3</v>
      </c>
      <c r="P60" s="2676">
        <f t="shared" si="41"/>
        <v>5.4299289107991269E-2</v>
      </c>
      <c r="Q60" s="2676">
        <f t="shared" si="41"/>
        <v>8.9126559714794995E-3</v>
      </c>
      <c r="R60" s="2629"/>
      <c r="S60" s="2627"/>
      <c r="T60" s="2628"/>
      <c r="U60" s="2628"/>
      <c r="V60" s="2628"/>
      <c r="X60" s="2677"/>
      <c r="Y60" s="2677"/>
      <c r="Z60" s="2677"/>
    </row>
    <row r="61" spans="1:26">
      <c r="A61" s="2619" t="s">
        <v>2609</v>
      </c>
      <c r="B61" s="2632">
        <f t="shared" si="42"/>
        <v>144.04145728643215</v>
      </c>
      <c r="C61" s="2632">
        <f t="shared" si="42"/>
        <v>136.12396694214877</v>
      </c>
      <c r="D61" s="2632">
        <f t="shared" si="18"/>
        <v>136.12396694214877</v>
      </c>
      <c r="E61" s="2632">
        <f t="shared" si="43"/>
        <v>158.32225913621264</v>
      </c>
      <c r="F61" s="2632">
        <f t="shared" si="43"/>
        <v>114.04278074866311</v>
      </c>
      <c r="G61" s="3481">
        <v>2006</v>
      </c>
      <c r="H61" s="2622">
        <v>1</v>
      </c>
      <c r="I61" s="2622">
        <v>2.29</v>
      </c>
      <c r="J61" s="2622">
        <v>3.72</v>
      </c>
      <c r="K61" s="2622">
        <v>0.75</v>
      </c>
      <c r="L61" s="2633">
        <v>0.04</v>
      </c>
      <c r="N61" s="2678">
        <f t="shared" si="40"/>
        <v>4.3778675988638847E-2</v>
      </c>
      <c r="O61" s="2679">
        <f t="shared" si="40"/>
        <v>3.9114251466784385E-2</v>
      </c>
      <c r="P61" s="2679">
        <f t="shared" si="41"/>
        <v>2.1433929911049188E-2</v>
      </c>
      <c r="Q61" s="2679">
        <f t="shared" si="41"/>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2610</v>
      </c>
      <c r="B62" s="2646">
        <v>138</v>
      </c>
      <c r="C62" s="2646">
        <v>131</v>
      </c>
      <c r="D62" s="2646">
        <f t="shared" si="18"/>
        <v>131</v>
      </c>
      <c r="E62" s="2646">
        <v>155</v>
      </c>
      <c r="F62" s="2647">
        <v>114</v>
      </c>
      <c r="G62" s="3479">
        <v>2005</v>
      </c>
      <c r="H62" s="2638">
        <v>4</v>
      </c>
      <c r="I62" s="2638">
        <v>3.29</v>
      </c>
      <c r="J62" s="2638">
        <v>1.44</v>
      </c>
      <c r="K62" s="2638">
        <v>0.66</v>
      </c>
      <c r="L62" s="2639">
        <v>7.78</v>
      </c>
      <c r="N62" s="2675">
        <f t="shared" ref="N62:O65" si="44">I62/SUM(I$62:I$65)*(B$62/B$66-1)</f>
        <v>9.9404603216919935E-2</v>
      </c>
      <c r="O62" s="2676">
        <f t="shared" si="44"/>
        <v>4.7636550760861554E-2</v>
      </c>
      <c r="P62" s="2676">
        <f t="shared" ref="P62:Q65" si="45">K62/SUM(K$62:K$65)*(E$62/E$66-1)</f>
        <v>8.3756345177664976E-2</v>
      </c>
      <c r="Q62" s="2676">
        <f t="shared" si="45"/>
        <v>5.2148766661559584E-2</v>
      </c>
      <c r="R62" s="2629"/>
      <c r="S62" s="2630"/>
      <c r="T62" s="2631"/>
      <c r="U62" s="2631"/>
      <c r="V62" s="2631"/>
      <c r="X62" s="2677"/>
      <c r="Y62" s="2677"/>
      <c r="Z62" s="2677"/>
    </row>
    <row r="63" spans="1:26">
      <c r="A63" s="2619" t="s">
        <v>2611</v>
      </c>
      <c r="B63" s="2632">
        <f t="shared" ref="B63:C65" si="46">B64+(B$62-B$66)*I63/SUM(I$62:I$65)</f>
        <v>125.9720430107527</v>
      </c>
      <c r="C63" s="2632">
        <f t="shared" si="46"/>
        <v>125.1883408071749</v>
      </c>
      <c r="D63" s="2632">
        <f t="shared" si="18"/>
        <v>125.1883408071749</v>
      </c>
      <c r="E63" s="2632">
        <f t="shared" ref="E63:F65" si="47">E64+(E$62-E$66)*K63/SUM(K$62:K$65)</f>
        <v>144.61421319796952</v>
      </c>
      <c r="F63" s="2632">
        <f t="shared" si="47"/>
        <v>108.42008196721311</v>
      </c>
      <c r="G63" s="3480">
        <v>2005</v>
      </c>
      <c r="H63" s="2643">
        <v>3</v>
      </c>
      <c r="I63" s="2643">
        <v>0.46</v>
      </c>
      <c r="J63" s="2643">
        <v>0.32</v>
      </c>
      <c r="K63" s="2643">
        <v>0.42</v>
      </c>
      <c r="L63" s="2644">
        <v>0.64</v>
      </c>
      <c r="N63" s="2675">
        <f t="shared" si="44"/>
        <v>1.3898515951301874E-2</v>
      </c>
      <c r="O63" s="2676">
        <f t="shared" si="44"/>
        <v>1.0585900169080346E-2</v>
      </c>
      <c r="P63" s="2676">
        <f t="shared" si="45"/>
        <v>5.3299492385786795E-2</v>
      </c>
      <c r="Q63" s="2676">
        <f t="shared" si="45"/>
        <v>4.2898728359123568E-3</v>
      </c>
      <c r="R63" s="2629"/>
      <c r="S63" s="2627"/>
      <c r="T63" s="2628"/>
      <c r="U63" s="2628"/>
      <c r="V63" s="2628"/>
      <c r="X63" s="2677"/>
      <c r="Y63" s="2677"/>
      <c r="Z63" s="2677"/>
    </row>
    <row r="64" spans="1:26">
      <c r="A64" s="2619" t="s">
        <v>2612</v>
      </c>
      <c r="B64" s="2632">
        <f t="shared" si="46"/>
        <v>124.29032258064517</v>
      </c>
      <c r="C64" s="2632">
        <f t="shared" si="46"/>
        <v>123.8968609865471</v>
      </c>
      <c r="D64" s="2632">
        <f t="shared" si="18"/>
        <v>123.8968609865471</v>
      </c>
      <c r="E64" s="2632">
        <f t="shared" si="47"/>
        <v>138.00507614213197</v>
      </c>
      <c r="F64" s="2632">
        <f t="shared" si="47"/>
        <v>107.96106557377048</v>
      </c>
      <c r="G64" s="3480">
        <v>2005</v>
      </c>
      <c r="H64" s="2623">
        <v>2</v>
      </c>
      <c r="I64" s="2623">
        <v>0.47</v>
      </c>
      <c r="J64" s="2623">
        <v>0.1</v>
      </c>
      <c r="K64" s="2623">
        <v>0.52</v>
      </c>
      <c r="L64" s="2634">
        <v>0.79</v>
      </c>
      <c r="N64" s="2675">
        <f t="shared" si="44"/>
        <v>1.420065760241713E-2</v>
      </c>
      <c r="O64" s="2676">
        <f t="shared" si="44"/>
        <v>3.3080938028376083E-3</v>
      </c>
      <c r="P64" s="2676">
        <f t="shared" si="45"/>
        <v>6.598984771573603E-2</v>
      </c>
      <c r="Q64" s="2676">
        <f t="shared" si="45"/>
        <v>5.2953117818293153E-3</v>
      </c>
      <c r="R64" s="2629"/>
      <c r="S64" s="2627"/>
      <c r="T64" s="2628"/>
      <c r="U64" s="2628"/>
      <c r="V64" s="2628"/>
      <c r="X64" s="2677"/>
      <c r="Y64" s="2677"/>
      <c r="Z64" s="2677"/>
    </row>
    <row r="65" spans="1:26">
      <c r="A65" s="2619" t="s">
        <v>2613</v>
      </c>
      <c r="B65" s="2632">
        <f t="shared" si="46"/>
        <v>122.57204301075269</v>
      </c>
      <c r="C65" s="2632">
        <f t="shared" si="46"/>
        <v>123.4932735426009</v>
      </c>
      <c r="D65" s="2632">
        <f t="shared" si="18"/>
        <v>123.4932735426009</v>
      </c>
      <c r="E65" s="2632">
        <f t="shared" si="47"/>
        <v>129.82233502538071</v>
      </c>
      <c r="F65" s="2632">
        <f t="shared" si="47"/>
        <v>107.39446721311475</v>
      </c>
      <c r="G65" s="3481">
        <v>2005</v>
      </c>
      <c r="H65" s="2622">
        <v>1</v>
      </c>
      <c r="I65" s="2622">
        <v>0.43</v>
      </c>
      <c r="J65" s="2622">
        <v>0.37</v>
      </c>
      <c r="K65" s="2622">
        <v>0.37</v>
      </c>
      <c r="L65" s="2633">
        <v>0.55000000000000004</v>
      </c>
      <c r="N65" s="2678">
        <f t="shared" si="44"/>
        <v>1.2992090997956099E-2</v>
      </c>
      <c r="O65" s="2679">
        <f t="shared" si="44"/>
        <v>1.2239947070499151E-2</v>
      </c>
      <c r="P65" s="2679">
        <f t="shared" si="45"/>
        <v>4.6954314720812178E-2</v>
      </c>
      <c r="Q65" s="2679">
        <f t="shared" si="45"/>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2614</v>
      </c>
      <c r="B66" s="2662">
        <v>121</v>
      </c>
      <c r="C66" s="2662">
        <v>122</v>
      </c>
      <c r="D66" s="2662">
        <f t="shared" si="18"/>
        <v>122</v>
      </c>
      <c r="E66" s="2662">
        <v>124</v>
      </c>
      <c r="F66" s="2663">
        <v>107</v>
      </c>
      <c r="G66" s="3479">
        <v>2004</v>
      </c>
      <c r="H66" s="2638">
        <v>4</v>
      </c>
      <c r="I66" s="2638">
        <v>0.33</v>
      </c>
      <c r="J66" s="2638">
        <v>0.5</v>
      </c>
      <c r="K66" s="2638">
        <v>0.5</v>
      </c>
      <c r="L66" s="2639">
        <v>0</v>
      </c>
      <c r="N66" s="2675">
        <f t="shared" ref="N66:O69" si="48">I66/SUM(I$66:I$69)*(B$66/B$70-1)</f>
        <v>1.3391770148526898E-2</v>
      </c>
      <c r="O66" s="2676">
        <f t="shared" si="48"/>
        <v>1.063264221158958E-2</v>
      </c>
      <c r="P66" s="2676">
        <f t="shared" ref="P66:Q69" si="49">K66/SUM(K$66:K$69)*(E$66/E$70-1)</f>
        <v>2.2244466688911134E-2</v>
      </c>
      <c r="Q66" s="2676">
        <f t="shared" si="49"/>
        <v>0</v>
      </c>
      <c r="R66" s="2629"/>
      <c r="S66" s="2630"/>
      <c r="T66" s="2631"/>
      <c r="U66" s="2631"/>
      <c r="V66" s="2631"/>
      <c r="X66" s="2677"/>
      <c r="Y66" s="2677"/>
      <c r="Z66" s="2677"/>
    </row>
    <row r="67" spans="1:26">
      <c r="A67" s="2619" t="s">
        <v>2615</v>
      </c>
      <c r="B67" s="2632">
        <f t="shared" ref="B67:C69" si="50">B68+(B$66-B$70)*I67/SUM(I$66:I$69)</f>
        <v>119.51351351351352</v>
      </c>
      <c r="C67" s="2632">
        <f t="shared" si="50"/>
        <v>120.7878787878788</v>
      </c>
      <c r="D67" s="2632">
        <f t="shared" si="18"/>
        <v>120.7878787878788</v>
      </c>
      <c r="E67" s="2632">
        <f t="shared" ref="E67:F69" si="51">E68+(E$66-E$70)*K67/SUM(K$66:K$69)</f>
        <v>121.5975975975976</v>
      </c>
      <c r="F67" s="2632">
        <f t="shared" si="51"/>
        <v>107</v>
      </c>
      <c r="G67" s="3480">
        <v>2004</v>
      </c>
      <c r="H67" s="2643">
        <v>3</v>
      </c>
      <c r="I67" s="2643">
        <v>0.56000000000000005</v>
      </c>
      <c r="J67" s="2643">
        <v>0.8</v>
      </c>
      <c r="K67" s="2643">
        <v>0.83</v>
      </c>
      <c r="L67" s="2644">
        <v>0.06</v>
      </c>
      <c r="N67" s="2675">
        <f t="shared" si="48"/>
        <v>2.2725428130833527E-2</v>
      </c>
      <c r="O67" s="2676">
        <f t="shared" si="48"/>
        <v>1.7012227538543329E-2</v>
      </c>
      <c r="P67" s="2676">
        <f t="shared" si="49"/>
        <v>3.6925814703592477E-2</v>
      </c>
      <c r="Q67" s="2676">
        <f t="shared" si="49"/>
        <v>2.8846153846153744E-2</v>
      </c>
      <c r="R67" s="2629"/>
      <c r="S67" s="2627"/>
      <c r="T67" s="2628"/>
      <c r="U67" s="2628"/>
      <c r="V67" s="2628"/>
      <c r="X67" s="2677"/>
      <c r="Y67" s="2677"/>
      <c r="Z67" s="2677"/>
    </row>
    <row r="68" spans="1:26">
      <c r="A68" s="2619" t="s">
        <v>2616</v>
      </c>
      <c r="B68" s="2632">
        <f t="shared" si="50"/>
        <v>116.99099099099099</v>
      </c>
      <c r="C68" s="2632">
        <f t="shared" si="50"/>
        <v>118.84848484848486</v>
      </c>
      <c r="D68" s="2632">
        <f t="shared" si="18"/>
        <v>118.84848484848486</v>
      </c>
      <c r="E68" s="2632">
        <f t="shared" si="51"/>
        <v>117.60960960960961</v>
      </c>
      <c r="F68" s="2632">
        <f t="shared" si="51"/>
        <v>104</v>
      </c>
      <c r="G68" s="3480">
        <v>2004</v>
      </c>
      <c r="H68" s="2623">
        <v>2</v>
      </c>
      <c r="I68" s="2623">
        <v>1</v>
      </c>
      <c r="J68" s="2623">
        <v>1.5</v>
      </c>
      <c r="K68" s="2623">
        <v>1.5</v>
      </c>
      <c r="L68" s="2634">
        <v>0</v>
      </c>
      <c r="N68" s="2675">
        <f t="shared" si="48"/>
        <v>4.0581121662202721E-2</v>
      </c>
      <c r="O68" s="2676">
        <f t="shared" si="48"/>
        <v>3.1897926634768738E-2</v>
      </c>
      <c r="P68" s="2676">
        <f t="shared" si="49"/>
        <v>6.6733400066733395E-2</v>
      </c>
      <c r="Q68" s="2676">
        <f t="shared" si="49"/>
        <v>0</v>
      </c>
      <c r="R68" s="2629"/>
      <c r="S68" s="2627"/>
      <c r="T68" s="2628"/>
      <c r="U68" s="2628"/>
      <c r="V68" s="2628"/>
      <c r="X68" s="2677"/>
      <c r="Y68" s="2677"/>
      <c r="Z68" s="2677"/>
    </row>
    <row r="69" spans="1:26" s="2668" customFormat="1" ht="13.5" thickBot="1">
      <c r="A69" s="2619" t="s">
        <v>2617</v>
      </c>
      <c r="B69" s="2665">
        <f t="shared" si="50"/>
        <v>112.48648648648648</v>
      </c>
      <c r="C69" s="2665">
        <f t="shared" si="50"/>
        <v>115.21212121212122</v>
      </c>
      <c r="D69" s="2665">
        <f t="shared" si="18"/>
        <v>115.21212121212122</v>
      </c>
      <c r="E69" s="2665">
        <f t="shared" si="51"/>
        <v>110.4024024024024</v>
      </c>
      <c r="F69" s="2665">
        <f t="shared" si="51"/>
        <v>104</v>
      </c>
      <c r="G69" s="3481">
        <v>2004</v>
      </c>
      <c r="H69" s="2666">
        <v>1</v>
      </c>
      <c r="I69" s="2666">
        <v>0.33</v>
      </c>
      <c r="J69" s="2666">
        <v>0.5</v>
      </c>
      <c r="K69" s="2666">
        <v>0.5</v>
      </c>
      <c r="L69" s="2667">
        <v>0</v>
      </c>
      <c r="N69" s="2680">
        <f t="shared" si="48"/>
        <v>1.3391770148526898E-2</v>
      </c>
      <c r="O69" s="2681">
        <f t="shared" si="48"/>
        <v>1.063264221158958E-2</v>
      </c>
      <c r="P69" s="2681">
        <f t="shared" si="49"/>
        <v>2.2244466688911134E-2</v>
      </c>
      <c r="Q69" s="2681">
        <f t="shared" si="49"/>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2618</v>
      </c>
      <c r="B70" s="2683">
        <v>111</v>
      </c>
      <c r="C70" s="2683">
        <v>114</v>
      </c>
      <c r="D70" s="2683">
        <f t="shared" si="18"/>
        <v>114</v>
      </c>
      <c r="E70" s="2683">
        <v>108</v>
      </c>
      <c r="F70" s="2684">
        <v>104</v>
      </c>
      <c r="G70" s="3479">
        <v>2003</v>
      </c>
      <c r="H70" s="2673">
        <v>4</v>
      </c>
      <c r="I70" s="2685"/>
      <c r="J70" s="2685"/>
      <c r="K70" s="2685"/>
      <c r="L70" s="2685"/>
      <c r="N70" s="2686"/>
      <c r="O70" s="2685"/>
      <c r="P70" s="2685"/>
      <c r="Q70" s="2685"/>
      <c r="S70" s="2686"/>
      <c r="T70" s="2685"/>
      <c r="U70" s="2685"/>
      <c r="V70" s="2685"/>
      <c r="X70" s="2677"/>
      <c r="Y70" s="2677"/>
      <c r="Z70" s="2677"/>
    </row>
    <row r="71" spans="1:26">
      <c r="A71" s="2619" t="s">
        <v>2619</v>
      </c>
      <c r="B71" s="2687">
        <f t="shared" ref="B71:C73" si="52">B72+(B$70-B$74)/4</f>
        <v>109.75</v>
      </c>
      <c r="C71" s="2687">
        <f t="shared" si="52"/>
        <v>112.25</v>
      </c>
      <c r="D71" s="2687">
        <f t="shared" si="18"/>
        <v>112.25</v>
      </c>
      <c r="E71" s="2687">
        <f t="shared" ref="E71:F73" si="53">E72+(E$70-E$74)/4</f>
        <v>107.25</v>
      </c>
      <c r="F71" s="2687">
        <f t="shared" si="53"/>
        <v>103.5</v>
      </c>
      <c r="G71" s="3480">
        <v>2003</v>
      </c>
      <c r="H71" s="2643">
        <v>3</v>
      </c>
      <c r="I71" s="2685"/>
      <c r="J71" s="2685"/>
      <c r="K71" s="2685"/>
      <c r="L71" s="2685"/>
      <c r="X71" s="2677"/>
      <c r="Y71" s="2677"/>
      <c r="Z71" s="2677"/>
    </row>
    <row r="72" spans="1:26">
      <c r="A72" s="2619" t="s">
        <v>2620</v>
      </c>
      <c r="B72" s="2687">
        <f t="shared" si="52"/>
        <v>108.5</v>
      </c>
      <c r="C72" s="2687">
        <f t="shared" si="52"/>
        <v>110.5</v>
      </c>
      <c r="D72" s="2687">
        <f t="shared" si="18"/>
        <v>110.5</v>
      </c>
      <c r="E72" s="2687">
        <f t="shared" si="53"/>
        <v>106.5</v>
      </c>
      <c r="F72" s="2687">
        <f t="shared" si="53"/>
        <v>103</v>
      </c>
      <c r="G72" s="3480">
        <v>2003</v>
      </c>
      <c r="H72" s="2623">
        <v>2</v>
      </c>
      <c r="I72" s="2685"/>
      <c r="J72" s="2685"/>
      <c r="K72" s="2685"/>
      <c r="L72" s="2685"/>
      <c r="X72" s="2677"/>
      <c r="Y72" s="2677"/>
      <c r="Z72" s="2677"/>
    </row>
    <row r="73" spans="1:26" ht="13.5" thickBot="1">
      <c r="A73" s="2619" t="s">
        <v>2621</v>
      </c>
      <c r="B73" s="2687">
        <f t="shared" si="52"/>
        <v>107.25</v>
      </c>
      <c r="C73" s="2687">
        <f t="shared" si="52"/>
        <v>108.75</v>
      </c>
      <c r="D73" s="2687">
        <f t="shared" si="18"/>
        <v>108.75</v>
      </c>
      <c r="E73" s="2687">
        <f t="shared" si="53"/>
        <v>105.75</v>
      </c>
      <c r="F73" s="2687">
        <f t="shared" si="53"/>
        <v>102.5</v>
      </c>
      <c r="G73" s="3481">
        <v>2003</v>
      </c>
      <c r="H73" s="2688">
        <v>1</v>
      </c>
      <c r="I73" s="2685"/>
      <c r="J73" s="2685"/>
      <c r="K73" s="2685"/>
      <c r="L73" s="2685"/>
      <c r="S73" s="2627"/>
      <c r="T73" s="2628"/>
      <c r="U73" s="2628"/>
      <c r="X73" s="2677"/>
      <c r="Y73" s="2677"/>
      <c r="Z73" s="2677"/>
    </row>
    <row r="74" spans="1:26" ht="13.5" thickBot="1">
      <c r="A74" s="2619" t="s">
        <v>2622</v>
      </c>
      <c r="B74" s="2689">
        <v>106</v>
      </c>
      <c r="C74" s="2689">
        <v>107</v>
      </c>
      <c r="D74" s="2689">
        <f t="shared" si="18"/>
        <v>107</v>
      </c>
      <c r="E74" s="2689">
        <v>105</v>
      </c>
      <c r="F74" s="2690">
        <v>102</v>
      </c>
      <c r="G74" s="3479">
        <v>2002</v>
      </c>
      <c r="H74" s="2638">
        <v>4</v>
      </c>
      <c r="I74" s="2685"/>
      <c r="J74" s="2685"/>
      <c r="K74" s="2685"/>
      <c r="L74" s="2685"/>
      <c r="N74" s="2686"/>
      <c r="O74" s="2685"/>
      <c r="P74" s="2685"/>
      <c r="Q74" s="2685"/>
      <c r="S74" s="2686"/>
      <c r="T74" s="2685"/>
      <c r="U74" s="2685"/>
      <c r="V74" s="2685"/>
      <c r="X74" s="2677"/>
      <c r="Y74" s="2677"/>
      <c r="Z74" s="2677"/>
    </row>
    <row r="75" spans="1:26">
      <c r="A75" s="2619" t="s">
        <v>2623</v>
      </c>
      <c r="B75" s="2687">
        <f t="shared" ref="B75:C77" si="54">B76+(B$74-B$78)/4</f>
        <v>105</v>
      </c>
      <c r="C75" s="2687">
        <f t="shared" si="54"/>
        <v>106</v>
      </c>
      <c r="D75" s="2687">
        <f t="shared" si="18"/>
        <v>106</v>
      </c>
      <c r="E75" s="2687">
        <f t="shared" ref="E75:F77" si="55">E76+(E$74-E$78)/4</f>
        <v>104.5</v>
      </c>
      <c r="F75" s="2687">
        <f t="shared" si="55"/>
        <v>101.5</v>
      </c>
      <c r="G75" s="3480">
        <v>2002</v>
      </c>
      <c r="H75" s="2643">
        <v>3</v>
      </c>
      <c r="I75" s="2685"/>
      <c r="J75" s="2685"/>
      <c r="K75" s="2685"/>
      <c r="L75" s="2685"/>
      <c r="X75" s="2677"/>
      <c r="Y75" s="2677"/>
      <c r="Z75" s="2677"/>
    </row>
    <row r="76" spans="1:26">
      <c r="A76" s="2619" t="s">
        <v>2624</v>
      </c>
      <c r="B76" s="2687">
        <f t="shared" si="54"/>
        <v>104</v>
      </c>
      <c r="C76" s="2687">
        <f t="shared" si="54"/>
        <v>105</v>
      </c>
      <c r="D76" s="2687">
        <f t="shared" si="18"/>
        <v>105</v>
      </c>
      <c r="E76" s="2687">
        <f t="shared" si="55"/>
        <v>104</v>
      </c>
      <c r="F76" s="2687">
        <f t="shared" si="55"/>
        <v>101</v>
      </c>
      <c r="G76" s="3480">
        <v>2002</v>
      </c>
      <c r="H76" s="2623">
        <v>2</v>
      </c>
      <c r="I76" s="2685"/>
      <c r="J76" s="2685"/>
      <c r="K76" s="2685"/>
      <c r="L76" s="2685"/>
      <c r="X76" s="2677"/>
      <c r="Y76" s="2677"/>
      <c r="Z76" s="2677"/>
    </row>
    <row r="77" spans="1:26" s="2654" customFormat="1" ht="13.5" thickBot="1">
      <c r="A77" s="2650" t="s">
        <v>2625</v>
      </c>
      <c r="B77" s="2691">
        <f t="shared" si="54"/>
        <v>103</v>
      </c>
      <c r="C77" s="2691">
        <f t="shared" si="54"/>
        <v>104</v>
      </c>
      <c r="D77" s="2691">
        <f t="shared" si="18"/>
        <v>104</v>
      </c>
      <c r="E77" s="2691">
        <f t="shared" si="55"/>
        <v>103.5</v>
      </c>
      <c r="F77" s="2691">
        <f t="shared" si="55"/>
        <v>100.5</v>
      </c>
      <c r="G77" s="3481">
        <v>2002</v>
      </c>
      <c r="H77" s="2692">
        <v>1</v>
      </c>
      <c r="I77" s="2693"/>
      <c r="J77" s="2693"/>
      <c r="K77" s="2693"/>
      <c r="L77" s="2693"/>
      <c r="N77" s="2694"/>
      <c r="S77" s="2694"/>
      <c r="X77" s="2695"/>
      <c r="Y77" s="2695"/>
      <c r="Z77" s="2695"/>
    </row>
    <row r="78" spans="1:26" ht="13.5" thickBot="1">
      <c r="B78" s="2696">
        <v>102</v>
      </c>
      <c r="C78" s="2697">
        <v>103</v>
      </c>
      <c r="D78" s="2697">
        <f t="shared" si="18"/>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2626</v>
      </c>
      <c r="G80" s="2701"/>
      <c r="N80" s="2701"/>
      <c r="S80" s="2701"/>
    </row>
    <row r="81" spans="1:22" s="2700" customFormat="1">
      <c r="A81" s="2700" t="s">
        <v>2627</v>
      </c>
      <c r="G81" s="2701"/>
      <c r="N81" s="2701"/>
      <c r="S81" s="2701"/>
    </row>
    <row r="82" spans="1:22" s="2700" customFormat="1">
      <c r="A82" s="2700" t="s">
        <v>2628</v>
      </c>
      <c r="G82" s="2701"/>
      <c r="I82" s="2702"/>
      <c r="J82" s="2702"/>
      <c r="K82" s="2702"/>
      <c r="L82" s="2702"/>
      <c r="N82" s="2703"/>
      <c r="O82" s="2702"/>
      <c r="P82" s="2702"/>
      <c r="Q82" s="2702"/>
      <c r="S82" s="2703"/>
      <c r="T82" s="2702"/>
      <c r="U82" s="2702"/>
      <c r="V82" s="2702"/>
    </row>
    <row r="83" spans="1:22" s="2700" customFormat="1">
      <c r="A83" s="2700" t="s">
        <v>2629</v>
      </c>
      <c r="G83" s="2701"/>
      <c r="N83" s="2701"/>
      <c r="S83" s="2701"/>
    </row>
    <row r="90" spans="1:22" ht="13.5" thickBot="1"/>
    <row r="91" spans="1:22">
      <c r="G91" s="2626"/>
      <c r="S91" s="2704" t="s">
        <v>2630</v>
      </c>
      <c r="T91" s="2705" t="s">
        <v>2631</v>
      </c>
      <c r="U91" s="2705" t="s">
        <v>2632</v>
      </c>
      <c r="V91" s="2705" t="s">
        <v>2633</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受贵公司委托，我公司对北京市北京市丰台区南苑石榴庄0517-L02地块F1住宅混合公建用地出让国有建设用地使用权抵押价格进行了预评估。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丰台区南苑石榴庄0517-L02地块F1住宅混合公建用地出让国有建设用地使用权。根据《不动产权证书》[京（2020）丰不动产权第0002545号]，估价对象（分摊）出让国有建设用地使用权面积为21023.4平方米。根据《国有建设用地使用权出让合同》[电子监管号：1101002019B02868]及附件，估价对象规划建筑面积为63070平方米。</v>
      </c>
    </row>
    <row r="7" spans="1:4" ht="56.25">
      <c r="A7" s="1780" t="s">
        <v>2741</v>
      </c>
    </row>
    <row r="8" spans="1:4" ht="18.75">
      <c r="A8" s="1779" t="s">
        <v>1906</v>
      </c>
    </row>
    <row r="9" spans="1:4" ht="75">
      <c r="A9" s="1781" t="str">
        <f>IF(项目基本情况!B8="抵押",IF(项目基本情况!B5=项目基本情况!B6,定义!C51,定义!B51),定义!D51)</f>
        <v>拟使用北京市北京市丰台区南苑石榴庄0517-L02地块F1住宅混合公建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2020年3月20日（评估专业人员勘察现场之日）</v>
      </c>
    </row>
    <row r="12" spans="1:4" ht="18.75">
      <c r="A12" s="1782" t="s">
        <v>2021</v>
      </c>
    </row>
    <row r="13" spans="1:4" ht="18.75">
      <c r="A13" s="1776" t="s">
        <v>2924</v>
      </c>
    </row>
    <row r="14" spans="1:4" ht="37.5">
      <c r="A14" s="1776" t="str">
        <f>"根据"&amp;项目基本情况!F12&amp;"，本次评估估价对象证载（地类）用途为"&amp;项目基本情况!B12&amp;"。"</f>
        <v>根据《不动产权证书》[京（2020）丰不动产权第0002545号]，本次评估估价对象证载（地类）用途为。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丰不动产权第0002545号]，估价对象（分摊）出让国有建设用地使用权面积为21023.4平方米。根据《国有建设用地使用权出让合同》[电子监管号：1101002019B02868]及附件，估价对象规划建筑面积为63070平方米。</v>
      </c>
    </row>
    <row r="21" spans="1:1" ht="18.75">
      <c r="A21" s="1776" t="s">
        <v>2070</v>
      </c>
    </row>
    <row r="22" spans="1:1" ht="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2020）丰不动产权第0002545号]证载土地终止日期为住宅2089年10月16日、商业2059年10月16日、办公2069年10月16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2020年3月20日，在规划利用条件下、设定土地开发程度为红线外“七通”、宗地内场地平整，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2931</v>
      </c>
      <c r="B1" s="3054"/>
      <c r="C1" s="3054"/>
      <c r="D1" s="3054"/>
      <c r="E1" s="3054"/>
      <c r="F1" s="3054"/>
    </row>
    <row r="2" spans="1:6" ht="14.25">
      <c r="A2" s="3055" t="s">
        <v>2926</v>
      </c>
      <c r="B2" s="3056" t="e">
        <f ca="1">SUMIF(B7:B14,"&lt;&gt;#ref!",B7:B14)</f>
        <v>#DIV/0!</v>
      </c>
      <c r="C2" s="3055" t="s">
        <v>2927</v>
      </c>
      <c r="D2" s="3054"/>
      <c r="E2" s="3054"/>
      <c r="F2" s="3054"/>
    </row>
    <row r="3" spans="1:6" ht="14.25">
      <c r="A3" s="3055" t="s">
        <v>2959</v>
      </c>
      <c r="B3" s="3056" t="e">
        <f ca="1">ROUND(B2*10000/E3,0)</f>
        <v>#DIV/0!</v>
      </c>
      <c r="C3" s="3055" t="s">
        <v>2074</v>
      </c>
      <c r="D3" s="3055" t="s">
        <v>2928</v>
      </c>
      <c r="E3" s="3056">
        <f ca="1">SUMIF(E7:E14,"&lt;&gt;#ref!",E7:E14)</f>
        <v>0</v>
      </c>
      <c r="F3" s="3054"/>
    </row>
    <row r="4" spans="1:6" ht="14.25">
      <c r="A4" s="3055" t="s">
        <v>2935</v>
      </c>
      <c r="B4" s="3056" t="e">
        <f ca="1">ROUND(B2*10000/E4,0)</f>
        <v>#DIV/0!</v>
      </c>
      <c r="C4" s="3055" t="s">
        <v>2074</v>
      </c>
      <c r="D4" s="3055" t="s">
        <v>2936</v>
      </c>
      <c r="E4" s="3056">
        <f ca="1">SUMIF(F7:F14,"&lt;&gt;#ref!",F7:F14)</f>
        <v>0</v>
      </c>
      <c r="F4" s="3054"/>
    </row>
    <row r="5" spans="1:6" ht="14.25">
      <c r="A5" s="3057"/>
      <c r="B5" s="1866"/>
      <c r="C5" s="1866"/>
      <c r="D5" s="1866"/>
      <c r="E5" s="1866"/>
      <c r="F5" s="3054"/>
    </row>
    <row r="6" spans="1:6" ht="28.5">
      <c r="A6" s="3058" t="s">
        <v>2932</v>
      </c>
      <c r="B6" s="3055" t="s">
        <v>2929</v>
      </c>
      <c r="C6" s="3056"/>
      <c r="D6" s="1866"/>
      <c r="E6" s="3055" t="s">
        <v>2930</v>
      </c>
      <c r="F6" s="3055" t="s">
        <v>2934</v>
      </c>
    </row>
    <row r="7" spans="1:6" ht="14.25">
      <c r="A7" s="260" t="s">
        <v>2933</v>
      </c>
      <c r="B7" s="3059" t="e">
        <f ca="1">SUMIF(INDIRECT("'"&amp;A7&amp;"'"&amp;"!A:A"),"总价",INDIRECT("'"&amp;A7&amp;"'"&amp;"!B:B"))</f>
        <v>#DIV/0!</v>
      </c>
      <c r="C7" s="3055" t="s">
        <v>2927</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2927</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2927</v>
      </c>
      <c r="D9" s="1866"/>
      <c r="E9" s="3060" t="e">
        <f t="shared" ca="1" si="1"/>
        <v>#REF!</v>
      </c>
      <c r="F9" s="3060" t="e">
        <f t="shared" ca="1" si="2"/>
        <v>#REF!</v>
      </c>
    </row>
    <row r="10" spans="1:6" ht="14.25">
      <c r="A10" s="260"/>
      <c r="B10" s="3059" t="e">
        <f t="shared" ca="1" si="0"/>
        <v>#REF!</v>
      </c>
      <c r="C10" s="3055" t="s">
        <v>2927</v>
      </c>
      <c r="D10" s="1866"/>
      <c r="E10" s="3060" t="e">
        <f t="shared" ca="1" si="1"/>
        <v>#REF!</v>
      </c>
      <c r="F10" s="3060" t="e">
        <f t="shared" ca="1" si="2"/>
        <v>#REF!</v>
      </c>
    </row>
    <row r="11" spans="1:6" ht="14.25">
      <c r="A11" s="260"/>
      <c r="B11" s="3059" t="e">
        <f t="shared" ca="1" si="0"/>
        <v>#REF!</v>
      </c>
      <c r="C11" s="3055" t="s">
        <v>2927</v>
      </c>
      <c r="D11" s="1866"/>
      <c r="E11" s="3060" t="e">
        <f t="shared" ca="1" si="1"/>
        <v>#REF!</v>
      </c>
      <c r="F11" s="3060" t="e">
        <f t="shared" ca="1" si="2"/>
        <v>#REF!</v>
      </c>
    </row>
    <row r="12" spans="1:6" ht="14.25">
      <c r="A12" s="260"/>
      <c r="B12" s="3059" t="e">
        <f t="shared" ca="1" si="0"/>
        <v>#REF!</v>
      </c>
      <c r="C12" s="3055" t="s">
        <v>2927</v>
      </c>
      <c r="D12" s="1866"/>
      <c r="E12" s="3060" t="e">
        <f t="shared" ca="1" si="1"/>
        <v>#REF!</v>
      </c>
      <c r="F12" s="3060" t="e">
        <f t="shared" ca="1" si="2"/>
        <v>#REF!</v>
      </c>
    </row>
    <row r="13" spans="1:6" ht="14.25">
      <c r="A13" s="260"/>
      <c r="B13" s="3059" t="e">
        <f t="shared" ca="1" si="0"/>
        <v>#REF!</v>
      </c>
      <c r="C13" s="3055" t="s">
        <v>2927</v>
      </c>
      <c r="D13" s="1866"/>
      <c r="E13" s="3060" t="e">
        <f t="shared" ca="1" si="1"/>
        <v>#REF!</v>
      </c>
      <c r="F13" s="3060" t="e">
        <f t="shared" ca="1" si="2"/>
        <v>#REF!</v>
      </c>
    </row>
    <row r="14" spans="1:6" ht="14.25">
      <c r="A14" s="3053"/>
      <c r="B14" s="3059" t="e">
        <f t="shared" ca="1" si="0"/>
        <v>#REF!</v>
      </c>
      <c r="C14" s="3055" t="s">
        <v>2927</v>
      </c>
      <c r="D14" s="1866"/>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2370</v>
      </c>
      <c r="F1" s="2352">
        <f ca="1">J54</f>
        <v>-2.5</v>
      </c>
      <c r="G1" s="774">
        <f>MATCH(C1,'数据-取费表'!A6:A16,0)+5</f>
        <v>8</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2454</v>
      </c>
      <c r="C7" s="53">
        <f ca="1">C8+C12+C14</f>
        <v>0</v>
      </c>
      <c r="D7" s="2460" t="s">
        <v>2457</v>
      </c>
      <c r="E7" s="2454"/>
      <c r="F7" s="2455"/>
      <c r="G7" s="1579"/>
      <c r="H7" s="781">
        <v>1</v>
      </c>
      <c r="I7" s="782" t="s">
        <v>2454</v>
      </c>
      <c r="J7" s="53">
        <f ca="1">J8+J12+J14</f>
        <v>0</v>
      </c>
      <c r="K7" s="2460" t="s">
        <v>2457</v>
      </c>
      <c r="L7" s="2454"/>
      <c r="M7" s="2455"/>
    </row>
    <row r="8" spans="1:25" ht="18" customHeight="1">
      <c r="A8" s="1815" t="s">
        <v>1824</v>
      </c>
      <c r="B8" s="3488" t="s">
        <v>2459</v>
      </c>
      <c r="C8" s="1810">
        <f ca="1">ROUND(F8*F10*F9*(1-F11)/10000,0)</f>
        <v>0</v>
      </c>
      <c r="D8" s="1807" t="s">
        <v>2530</v>
      </c>
      <c r="E8" s="61" t="s">
        <v>637</v>
      </c>
      <c r="F8" s="785">
        <f ca="1">INDIRECT("'数据-取费表'!u"&amp;$G$1)</f>
        <v>0</v>
      </c>
      <c r="G8" s="1579"/>
      <c r="H8" s="2468" t="s">
        <v>1824</v>
      </c>
      <c r="I8" s="3488" t="s">
        <v>2459</v>
      </c>
      <c r="J8" s="783">
        <f ca="1">ROUND(M8*M10*M9*(1-M11)/10000,0)</f>
        <v>0</v>
      </c>
      <c r="K8" s="341" t="s">
        <v>2530</v>
      </c>
      <c r="L8" s="784" t="s">
        <v>1738</v>
      </c>
      <c r="M8" s="785">
        <f ca="1">INDIRECT("'数据-取费表'!z"&amp;$G$1)</f>
        <v>0</v>
      </c>
    </row>
    <row r="9" spans="1:25" ht="18" customHeight="1">
      <c r="A9" s="2464"/>
      <c r="B9" s="3489"/>
      <c r="C9" s="1811"/>
      <c r="D9" s="1808"/>
      <c r="E9" s="61" t="s">
        <v>638</v>
      </c>
      <c r="F9" s="785">
        <f ca="1">IF(INDIRECT("'数据-取费表'!ah"&amp;$G$1)="",INDIRECT("'数据-取费表'!k"&amp;$G$1),INDIRECT("'数据-取费表'!ah"&amp;$G$1))</f>
        <v>0</v>
      </c>
      <c r="G9" s="1579"/>
      <c r="H9" s="2453"/>
      <c r="I9" s="3489"/>
      <c r="J9" s="788"/>
      <c r="K9" s="789"/>
      <c r="L9" s="784" t="s">
        <v>1739</v>
      </c>
      <c r="M9" s="785">
        <f ca="1">F9</f>
        <v>0</v>
      </c>
    </row>
    <row r="10" spans="1:25" ht="18" customHeight="1">
      <c r="A10" s="2457"/>
      <c r="B10" s="3490"/>
      <c r="C10" s="1811"/>
      <c r="D10" s="1808"/>
      <c r="E10" s="61" t="s">
        <v>639</v>
      </c>
      <c r="F10" s="785">
        <f ca="1">INDIRECT("'数据-取费表'!ai"&amp;$G$1)</f>
        <v>0</v>
      </c>
      <c r="G10" s="1579"/>
      <c r="H10" s="2453"/>
      <c r="I10" s="3490"/>
      <c r="J10" s="788"/>
      <c r="K10" s="789"/>
      <c r="L10" s="784" t="s">
        <v>1740</v>
      </c>
      <c r="M10" s="785">
        <f ca="1">INDIRECT("'数据-取费表'!ai"&amp;$G$1)</f>
        <v>0</v>
      </c>
    </row>
    <row r="11" spans="1:25" ht="18" customHeight="1">
      <c r="A11" s="786"/>
      <c r="B11" s="3491"/>
      <c r="C11" s="1811"/>
      <c r="D11" s="1808"/>
      <c r="E11" s="61" t="s">
        <v>640</v>
      </c>
      <c r="F11" s="794">
        <f ca="1">INDIRECT("'数据-取费表'!w"&amp;$G$1)</f>
        <v>0</v>
      </c>
      <c r="G11" s="1579"/>
      <c r="H11" s="2469"/>
      <c r="I11" s="3490"/>
      <c r="J11" s="788"/>
      <c r="K11" s="789"/>
      <c r="L11" s="795" t="s">
        <v>1741</v>
      </c>
      <c r="M11" s="796">
        <f ca="1">INDIRECT("'数据-取费表'!ab"&amp;$G$1)</f>
        <v>0</v>
      </c>
    </row>
    <row r="12" spans="1:25" ht="18" customHeight="1">
      <c r="A12" s="1815" t="s">
        <v>1825</v>
      </c>
      <c r="B12" s="2458" t="s">
        <v>2455</v>
      </c>
      <c r="C12" s="799">
        <f ca="1">ROUND(IF(F12="押一",C8/12*F13,IF(F12="押二",C8/12*2*F13,IF(F12="押三",C8/12*3*F13,C13*F13))),0)</f>
        <v>0</v>
      </c>
      <c r="D12" s="2465" t="s">
        <v>2956</v>
      </c>
      <c r="E12" s="2462" t="s">
        <v>2460</v>
      </c>
      <c r="F12" s="2585"/>
      <c r="G12" s="1579"/>
      <c r="H12" s="2525" t="s">
        <v>1825</v>
      </c>
      <c r="I12" s="2530" t="s">
        <v>2455</v>
      </c>
      <c r="J12" s="783">
        <f ca="1">ROUND(IF(M12="押一",J8/12*M13,IF(M12="押二",J8/12*2*M13,IF(M12="押三",J8/12*3*M13,J13*M13))),0)</f>
        <v>0</v>
      </c>
      <c r="K12" s="2465" t="s">
        <v>2956</v>
      </c>
      <c r="L12" s="2462" t="s">
        <v>2460</v>
      </c>
      <c r="M12" s="2585"/>
    </row>
    <row r="13" spans="1:25" ht="18" customHeight="1">
      <c r="A13" s="790"/>
      <c r="B13" s="2459" t="s">
        <v>2569</v>
      </c>
      <c r="C13" s="2463"/>
      <c r="D13" s="789"/>
      <c r="E13" s="2462" t="s">
        <v>2452</v>
      </c>
      <c r="F13" s="796">
        <f ca="1">'数据-取费表'!B39</f>
        <v>1.4999999999999999E-2</v>
      </c>
      <c r="G13" s="1579"/>
      <c r="H13" s="2526"/>
      <c r="I13" s="2459" t="s">
        <v>2569</v>
      </c>
      <c r="J13" s="2463"/>
      <c r="K13" s="2527"/>
      <c r="L13" s="2462" t="s">
        <v>2452</v>
      </c>
      <c r="M13" s="2456">
        <f ca="1">'数据-取费表'!B39</f>
        <v>1.4999999999999999E-2</v>
      </c>
    </row>
    <row r="14" spans="1:25" ht="18" customHeight="1" thickBot="1">
      <c r="A14" s="2501" t="s">
        <v>2463</v>
      </c>
      <c r="B14" s="2502" t="s">
        <v>2456</v>
      </c>
      <c r="C14" s="2503"/>
      <c r="D14" s="2504"/>
      <c r="E14" s="2505"/>
      <c r="F14" s="2506"/>
      <c r="G14" s="1579"/>
      <c r="H14" s="2515" t="s">
        <v>2463</v>
      </c>
      <c r="I14" s="2528" t="s">
        <v>2456</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2065</v>
      </c>
      <c r="I16" s="2216" t="s">
        <v>2819</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80"/>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2065</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0.03</v>
      </c>
      <c r="G22" s="1580"/>
      <c r="H22" s="1817" t="s">
        <v>1850</v>
      </c>
      <c r="I22" s="1807" t="s">
        <v>668</v>
      </c>
      <c r="J22" s="54">
        <f ca="1">ROUND(M22*M23/10000,0)</f>
        <v>0</v>
      </c>
      <c r="K22" s="814" t="s">
        <v>669</v>
      </c>
      <c r="L22" s="784" t="s">
        <v>670</v>
      </c>
      <c r="M22" s="640">
        <f>'数据-取费表'!B52</f>
        <v>12</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0.03</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6" t="s">
        <v>2066</v>
      </c>
      <c r="I24" s="784" t="s">
        <v>676</v>
      </c>
      <c r="J24" s="53">
        <f ca="1">ROUND(J16*M24,0)</f>
        <v>0</v>
      </c>
      <c r="K24" s="1962" t="s">
        <v>677</v>
      </c>
      <c r="L24" s="784" t="s">
        <v>649</v>
      </c>
      <c r="M24" s="817">
        <f ca="1">INDIRECT("'数据-取费表'!Ak"&amp;$G$1)</f>
        <v>0</v>
      </c>
    </row>
    <row r="25" spans="1:25" s="2049" customFormat="1" ht="18" customHeight="1">
      <c r="A25" s="803" t="s">
        <v>1875</v>
      </c>
      <c r="B25" s="784" t="s">
        <v>2433</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1.8E-3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2816</v>
      </c>
      <c r="J27" s="799">
        <f ca="1">J7-J18</f>
        <v>0</v>
      </c>
      <c r="K27" s="1964" t="s">
        <v>700</v>
      </c>
      <c r="L27" s="1966"/>
      <c r="M27" s="820"/>
    </row>
    <row r="28" spans="1:25" ht="18" customHeight="1">
      <c r="A28" s="803" t="s">
        <v>1875</v>
      </c>
      <c r="B28" s="784" t="s">
        <v>2434</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2817</v>
      </c>
      <c r="C31" s="2508">
        <f ca="1">ROUND((C21+C22+C25+C28)/(1-F23-C26-C29-C30),0)</f>
        <v>0</v>
      </c>
      <c r="D31" s="2509"/>
      <c r="E31" s="2510"/>
      <c r="F31" s="2511"/>
      <c r="G31" s="1580"/>
      <c r="H31" s="823" t="s">
        <v>1872</v>
      </c>
      <c r="I31" s="2964" t="s">
        <v>2818</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12</v>
      </c>
      <c r="G36" s="2047"/>
      <c r="H36" s="2050"/>
      <c r="I36" s="3487"/>
      <c r="J36" s="2064"/>
      <c r="K36" s="2065"/>
      <c r="L36" s="2064"/>
      <c r="M36" s="2064"/>
    </row>
    <row r="37" spans="1:18" ht="18" customHeight="1">
      <c r="A37" s="815"/>
      <c r="B37" s="793"/>
      <c r="C37" s="69"/>
      <c r="D37" s="816"/>
      <c r="E37" s="784" t="s">
        <v>674</v>
      </c>
      <c r="F37" s="785">
        <f ca="1">INDIRECT("'数据-取费表'!r"&amp;$G$1)</f>
        <v>0</v>
      </c>
      <c r="G37" s="2047"/>
      <c r="H37" s="2050"/>
      <c r="I37" s="3487"/>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1" t="s">
        <v>2944</v>
      </c>
      <c r="F43" s="3072">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2947</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2339</v>
      </c>
      <c r="J47" s="2343"/>
      <c r="K47" s="2344"/>
      <c r="L47" s="3105" t="str">
        <f ca="1">IF(M48="住宅",0,IF(L49&gt;J52,L61,J61))</f>
        <v>0</v>
      </c>
      <c r="O47" s="2358" t="s">
        <v>2406</v>
      </c>
      <c r="P47" s="1579"/>
      <c r="Q47" s="1590"/>
      <c r="R47" s="1579"/>
    </row>
    <row r="48" spans="1:18" s="2044" customFormat="1" ht="18" customHeight="1" thickBot="1">
      <c r="A48" s="2069"/>
      <c r="C48" s="2072"/>
      <c r="D48" s="2073"/>
      <c r="E48" s="2073"/>
      <c r="F48" s="2074"/>
      <c r="G48" s="2075"/>
      <c r="I48" s="3096" t="s">
        <v>2340</v>
      </c>
      <c r="J48" s="2345"/>
      <c r="K48" s="3102" t="s">
        <v>2345</v>
      </c>
      <c r="L48" s="3106">
        <f ca="1">INDIRECT("'数据-取费表'!d"&amp;$G$1)</f>
        <v>0</v>
      </c>
      <c r="M48" s="3070" t="str">
        <f>IF(ISNUMBER(FIND("住宅",C1)),"住宅","非住宅")</f>
        <v>非住宅</v>
      </c>
      <c r="O48" s="2359" t="s">
        <v>2371</v>
      </c>
      <c r="P48" s="2360" t="s">
        <v>2372</v>
      </c>
      <c r="Q48" s="2361" t="s">
        <v>2373</v>
      </c>
      <c r="R48" s="2360" t="s">
        <v>2374</v>
      </c>
    </row>
    <row r="49" spans="1:18" s="2044" customFormat="1" ht="18" customHeight="1" thickBot="1">
      <c r="A49" s="2069"/>
      <c r="D49" s="2076"/>
      <c r="E49" s="2077"/>
      <c r="F49" s="2074"/>
      <c r="G49" s="2075"/>
      <c r="H49" s="2078"/>
      <c r="I49" s="3075" t="s">
        <v>2341</v>
      </c>
      <c r="J49" s="2346"/>
      <c r="K49" s="3103" t="s">
        <v>2347</v>
      </c>
      <c r="L49" s="1893">
        <f ca="1">INDIRECT("'数据-取费表'!f"&amp;$G$1)</f>
        <v>0</v>
      </c>
      <c r="O49" s="2362" t="s">
        <v>2375</v>
      </c>
      <c r="P49" s="2363" t="s">
        <v>2401</v>
      </c>
      <c r="Q49" s="2364">
        <f ca="1">C41+J31</f>
        <v>0</v>
      </c>
      <c r="R49" s="2363" t="s">
        <v>2376</v>
      </c>
    </row>
    <row r="50" spans="1:18" s="2044" customFormat="1" ht="18" customHeight="1" thickBot="1">
      <c r="A50" s="2069"/>
      <c r="D50" s="2079"/>
      <c r="E50" s="2079"/>
      <c r="F50" s="2073"/>
      <c r="G50" s="2080"/>
      <c r="H50" s="2078"/>
      <c r="I50" s="3075" t="s">
        <v>2342</v>
      </c>
      <c r="J50" s="2347"/>
      <c r="K50" s="3104" t="s">
        <v>2348</v>
      </c>
      <c r="L50" s="2348"/>
      <c r="O50" s="2362" t="s">
        <v>2377</v>
      </c>
      <c r="P50" s="2363" t="s">
        <v>2402</v>
      </c>
      <c r="Q50" s="2364" t="str">
        <f ca="1">J61</f>
        <v>0</v>
      </c>
      <c r="R50" s="2363" t="s">
        <v>2378</v>
      </c>
    </row>
    <row r="51" spans="1:18" s="2044" customFormat="1" ht="18" customHeight="1" thickBot="1">
      <c r="A51" s="2081"/>
      <c r="D51" s="2079"/>
      <c r="E51" s="2079"/>
      <c r="F51" s="2070"/>
      <c r="H51" s="2078"/>
      <c r="I51" s="3075" t="s">
        <v>2343</v>
      </c>
      <c r="J51" s="3100">
        <f>SUMPRODUCT((I64:I66=J48)*(J63:L63=J49)*(J64:L66))</f>
        <v>0</v>
      </c>
      <c r="K51" s="3104" t="s">
        <v>2349</v>
      </c>
      <c r="L51" s="2348"/>
      <c r="O51" s="2365" t="s">
        <v>2379</v>
      </c>
      <c r="P51" s="2363" t="s">
        <v>2403</v>
      </c>
      <c r="Q51" s="2364">
        <f ca="1">C31</f>
        <v>0</v>
      </c>
      <c r="R51" s="2363" t="s">
        <v>2376</v>
      </c>
    </row>
    <row r="52" spans="1:18" s="2044" customFormat="1" ht="18" customHeight="1" thickBot="1">
      <c r="A52" s="2081"/>
      <c r="F52" s="2070"/>
      <c r="I52" s="3097" t="s">
        <v>2344</v>
      </c>
      <c r="J52" s="3101">
        <f>IF(J50="",J51,J50+J51-YEAR('数据-取费表'!B3))</f>
        <v>0</v>
      </c>
      <c r="K52" s="3075" t="s">
        <v>2350</v>
      </c>
      <c r="L52" s="3107">
        <f ca="1">ROUND(-PV(INDIRECT("'数据-取费表'!h"&amp;$G$1),L49,(C40-C14*J36),0),0)</f>
        <v>0</v>
      </c>
      <c r="O52" s="2365" t="s">
        <v>2380</v>
      </c>
      <c r="P52" s="2363" t="s">
        <v>2381</v>
      </c>
      <c r="Q52" s="2366" t="e">
        <f ca="1">J59</f>
        <v>#VALUE!</v>
      </c>
      <c r="R52" s="2367"/>
    </row>
    <row r="53" spans="1:18" s="2044" customFormat="1" ht="18" customHeight="1" thickBot="1">
      <c r="A53" s="2081"/>
      <c r="F53" s="2070"/>
      <c r="I53" s="3098" t="s">
        <v>2417</v>
      </c>
      <c r="J53" s="2349"/>
      <c r="K53" s="3098" t="s">
        <v>2416</v>
      </c>
      <c r="L53" s="2349"/>
      <c r="O53" s="2365" t="s">
        <v>2382</v>
      </c>
      <c r="P53" s="2363" t="s">
        <v>2383</v>
      </c>
      <c r="Q53" s="2366">
        <f>J53</f>
        <v>0</v>
      </c>
      <c r="R53" s="2367"/>
    </row>
    <row r="54" spans="1:18" s="2044" customFormat="1" ht="29.25" thickBot="1">
      <c r="A54" s="2081"/>
      <c r="I54" s="3099" t="s">
        <v>2960</v>
      </c>
      <c r="J54" s="3178">
        <f ca="1">IF(M48="住宅",MAX(J52,L49-'数据-取费表'!B20),MIN(J52,L49-'数据-取费表'!B20))</f>
        <v>-2.5</v>
      </c>
      <c r="K54" s="3492"/>
      <c r="L54" s="3493"/>
      <c r="O54" s="2365" t="s">
        <v>2384</v>
      </c>
      <c r="P54" s="2363" t="s">
        <v>2385</v>
      </c>
      <c r="Q54" s="2364">
        <f ca="1">J54</f>
        <v>-2.5</v>
      </c>
      <c r="R54" s="2363" t="s">
        <v>2386</v>
      </c>
    </row>
    <row r="55" spans="1:18" s="2044" customFormat="1" ht="18" customHeight="1" thickBot="1">
      <c r="A55" s="2081"/>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2" t="s">
        <v>2387</v>
      </c>
      <c r="P55" s="2363" t="s">
        <v>2404</v>
      </c>
      <c r="Q55" s="2364">
        <f ca="1">Q49+Q50</f>
        <v>0</v>
      </c>
      <c r="R55" s="2367" t="s">
        <v>2388</v>
      </c>
    </row>
    <row r="56" spans="1:18" s="2044" customFormat="1" ht="16.5" thickBot="1">
      <c r="A56" s="2081"/>
      <c r="B56" s="2082"/>
      <c r="C56" s="2082"/>
      <c r="I56" s="3110" t="s">
        <v>2351</v>
      </c>
      <c r="J56" s="3050" t="e">
        <f ca="1">ROUND(IF(J48="钢混",J58/J51,1-(1-2%)*(J51-J58)/J51),3)</f>
        <v>#VALUE!</v>
      </c>
      <c r="K56" s="3111" t="s">
        <v>2352</v>
      </c>
      <c r="L56" s="2350"/>
      <c r="O56" s="2368" t="s">
        <v>2407</v>
      </c>
      <c r="P56" s="1579"/>
      <c r="Q56" s="1590"/>
      <c r="R56" s="1579"/>
    </row>
    <row r="57" spans="1:18" s="2044" customFormat="1" ht="43.5" thickBot="1">
      <c r="A57" s="2081"/>
      <c r="B57" s="2082"/>
      <c r="C57" s="2082"/>
      <c r="I57" s="3112" t="s">
        <v>2353</v>
      </c>
      <c r="J57" s="3122" t="s">
        <v>1678</v>
      </c>
      <c r="K57" s="3075" t="s">
        <v>2358</v>
      </c>
      <c r="L57" s="1893">
        <f ca="1">IF(L49&lt;J52,"——",L49-J52)</f>
        <v>0</v>
      </c>
      <c r="O57" s="2359" t="s">
        <v>2371</v>
      </c>
      <c r="P57" s="2360" t="s">
        <v>2372</v>
      </c>
      <c r="Q57" s="2361" t="s">
        <v>2373</v>
      </c>
      <c r="R57" s="2360" t="s">
        <v>2374</v>
      </c>
    </row>
    <row r="58" spans="1:18" s="2044" customFormat="1" ht="29.25" thickBot="1">
      <c r="A58" s="2081"/>
      <c r="B58" s="2082"/>
      <c r="C58" s="2082"/>
      <c r="I58" s="3113" t="s">
        <v>2354</v>
      </c>
      <c r="J58" s="3114" t="str">
        <f ca="1">IF(OR(M48="住宅",J52&lt;L49,J57="是"),"——",J52-L49)</f>
        <v>——</v>
      </c>
      <c r="K58" s="3075" t="s">
        <v>2359</v>
      </c>
      <c r="L58" s="1893">
        <f ca="1">IF(L49&lt;J52,"——",IF(L56="比较法",L50,IF(L56="基准地价",L51,L52)))</f>
        <v>0</v>
      </c>
      <c r="O58" s="2362" t="s">
        <v>2375</v>
      </c>
      <c r="P58" s="2363" t="s">
        <v>2401</v>
      </c>
      <c r="Q58" s="2364">
        <f ca="1">C41+J31</f>
        <v>0</v>
      </c>
      <c r="R58" s="2363" t="s">
        <v>2376</v>
      </c>
    </row>
    <row r="59" spans="1:18" s="2044" customFormat="1" ht="29.25" thickBot="1">
      <c r="A59" s="2081"/>
      <c r="B59" s="2082"/>
      <c r="C59" s="2082"/>
      <c r="I59" s="3113" t="s">
        <v>2355</v>
      </c>
      <c r="J59" s="3051" t="e">
        <f ca="1">IF(J56&lt;0.4,0.4,J56)</f>
        <v>#VALUE!</v>
      </c>
      <c r="K59" s="3075" t="s">
        <v>2360</v>
      </c>
      <c r="L59" s="1893">
        <f ca="1">IF(ISERROR(POWER(1+L53,L48-L49)*(POWER(1+L53,L49)-1)/(POWER(1+L53,L48)-1)),0,POWER(1+L53,L48-L49)*(POWER(1+L53,L49)-1)/(POWER(1+L53,L48)-1))</f>
        <v>0</v>
      </c>
      <c r="O59" s="2362" t="s">
        <v>2377</v>
      </c>
      <c r="P59" s="2363" t="s">
        <v>2408</v>
      </c>
      <c r="Q59" s="2364" t="e">
        <f ca="1">L61</f>
        <v>#DIV/0!</v>
      </c>
      <c r="R59" s="2367" t="s">
        <v>2410</v>
      </c>
    </row>
    <row r="60" spans="1:18" s="2044" customFormat="1" ht="29.25" thickBot="1">
      <c r="A60" s="2081"/>
      <c r="B60" s="2082"/>
      <c r="C60" s="2082"/>
      <c r="I60" s="3113" t="s">
        <v>2356</v>
      </c>
      <c r="J60" s="3114" t="str">
        <f ca="1">IF(OR(M48="住宅",J52&lt;L49,J57="是"),"——",ROUND(C30*J59,0))</f>
        <v>——</v>
      </c>
      <c r="K60" s="3075" t="s">
        <v>2361</v>
      </c>
      <c r="L60" s="1893">
        <f ca="1">IF(ISERROR(POWER(1+L53,L48-J52)*(POWER(1+L53,J52)-1)/(POWER(1+L53,L48)-1)),0,POWER(1+L53,L48-J52)*(POWER(1+L53,J52)-1)/(POWER(1+L53,L48)-1))</f>
        <v>0</v>
      </c>
      <c r="O60" s="2365" t="s">
        <v>2379</v>
      </c>
      <c r="P60" s="2363" t="s">
        <v>2409</v>
      </c>
      <c r="Q60" s="2364">
        <f>IF(L56="比较法",L50,IF(L56="基准地价",L51,0))</f>
        <v>0</v>
      </c>
      <c r="R60" s="2363" t="s">
        <v>2376</v>
      </c>
    </row>
    <row r="61" spans="1:18" s="2044" customFormat="1" ht="15.75" thickBot="1">
      <c r="A61" s="2081"/>
      <c r="B61" s="2082"/>
      <c r="C61" s="2082"/>
      <c r="I61" s="3115" t="s">
        <v>2357</v>
      </c>
      <c r="J61" s="3116" t="str">
        <f ca="1">IF(OR(M48="住宅",J52&lt;L49,J57="是"),"0",ROUND(J60/(1+J53)^J54,0))</f>
        <v>0</v>
      </c>
      <c r="K61" s="3117" t="s">
        <v>2362</v>
      </c>
      <c r="L61" s="3116" t="e">
        <f ca="1">IF(OR(M48="住宅",L49&lt;J52),0,ROUND(L58*(L59/L60-1),0))</f>
        <v>#DIV/0!</v>
      </c>
      <c r="O61" s="2365" t="s">
        <v>2380</v>
      </c>
      <c r="P61" s="2363" t="s">
        <v>2389</v>
      </c>
      <c r="Q61" s="2366">
        <f>L53</f>
        <v>0</v>
      </c>
      <c r="R61" s="2367"/>
    </row>
    <row r="62" spans="1:18" s="2044" customFormat="1" ht="20.25" thickBot="1">
      <c r="A62" s="2081"/>
      <c r="B62" s="2082"/>
      <c r="C62" s="2082"/>
      <c r="K62" s="2071"/>
      <c r="O62" s="2365" t="s">
        <v>2382</v>
      </c>
      <c r="P62" s="2363" t="s">
        <v>2390</v>
      </c>
      <c r="Q62" s="2364">
        <f ca="1">L59</f>
        <v>0</v>
      </c>
      <c r="R62" s="2367" t="s">
        <v>2391</v>
      </c>
    </row>
    <row r="63" spans="1:18" s="2044" customFormat="1" ht="20.25" thickBot="1">
      <c r="A63" s="2081"/>
      <c r="B63" s="2082"/>
      <c r="C63" s="2082"/>
      <c r="I63" s="3118" t="s">
        <v>2363</v>
      </c>
      <c r="J63" s="3119" t="s">
        <v>2364</v>
      </c>
      <c r="K63" s="3119" t="s">
        <v>2365</v>
      </c>
      <c r="L63" s="3119" t="s">
        <v>2346</v>
      </c>
      <c r="M63" s="3120" t="s">
        <v>2925</v>
      </c>
      <c r="O63" s="2365" t="s">
        <v>2384</v>
      </c>
      <c r="P63" s="2363" t="s">
        <v>2392</v>
      </c>
      <c r="Q63" s="2364">
        <f ca="1">L60</f>
        <v>0</v>
      </c>
      <c r="R63" s="2367" t="s">
        <v>2393</v>
      </c>
    </row>
    <row r="64" spans="1:18" s="2044" customFormat="1" ht="15.75" thickBot="1">
      <c r="A64" s="2081"/>
      <c r="B64" s="2082"/>
      <c r="C64" s="2082"/>
      <c r="I64" s="3118" t="s">
        <v>2366</v>
      </c>
      <c r="J64" s="3119">
        <v>70</v>
      </c>
      <c r="K64" s="3119">
        <v>50</v>
      </c>
      <c r="L64" s="3119">
        <v>80</v>
      </c>
      <c r="M64" s="3121">
        <v>0.02</v>
      </c>
      <c r="O64" s="2362" t="s">
        <v>2387</v>
      </c>
      <c r="P64" s="2363" t="s">
        <v>2404</v>
      </c>
      <c r="Q64" s="2364" t="e">
        <f ca="1">Q58+Q59</f>
        <v>#DIV/0!</v>
      </c>
      <c r="R64" s="2367" t="s">
        <v>2388</v>
      </c>
    </row>
    <row r="65" spans="1:18" s="2044" customFormat="1" ht="16.5" thickBot="1">
      <c r="A65" s="2081"/>
      <c r="B65" s="2082"/>
      <c r="C65" s="2082"/>
      <c r="I65" s="3118" t="s">
        <v>2367</v>
      </c>
      <c r="J65" s="3119">
        <v>50</v>
      </c>
      <c r="K65" s="3119">
        <v>35</v>
      </c>
      <c r="L65" s="3119">
        <v>60</v>
      </c>
      <c r="M65" s="846">
        <v>0</v>
      </c>
      <c r="O65" s="2368" t="s">
        <v>2411</v>
      </c>
      <c r="P65" s="1579"/>
      <c r="Q65" s="1590"/>
      <c r="R65" s="1579"/>
    </row>
    <row r="66" spans="1:18" s="2044" customFormat="1" ht="15.75" thickBot="1">
      <c r="A66" s="2081"/>
      <c r="B66" s="2082"/>
      <c r="C66" s="2082"/>
      <c r="I66" s="3118" t="s">
        <v>2368</v>
      </c>
      <c r="J66" s="3119">
        <v>40</v>
      </c>
      <c r="K66" s="3119">
        <v>30</v>
      </c>
      <c r="L66" s="3119">
        <v>50</v>
      </c>
      <c r="M66" s="3121">
        <v>0.02</v>
      </c>
      <c r="O66" s="2359" t="s">
        <v>2371</v>
      </c>
      <c r="P66" s="2360" t="s">
        <v>2372</v>
      </c>
      <c r="Q66" s="2361" t="s">
        <v>2373</v>
      </c>
      <c r="R66" s="2360" t="s">
        <v>2374</v>
      </c>
    </row>
    <row r="67" spans="1:18" s="2044" customFormat="1" ht="15.75" thickBot="1">
      <c r="A67" s="2081"/>
      <c r="B67" s="2082"/>
      <c r="C67" s="2082"/>
      <c r="K67" s="2071"/>
      <c r="O67" s="2362" t="s">
        <v>2375</v>
      </c>
      <c r="P67" s="2363" t="s">
        <v>2401</v>
      </c>
      <c r="Q67" s="2364">
        <f ca="1">C41+J31</f>
        <v>0</v>
      </c>
      <c r="R67" s="2363" t="s">
        <v>2376</v>
      </c>
    </row>
    <row r="68" spans="1:18" s="2044" customFormat="1" ht="20.25" thickBot="1">
      <c r="A68" s="2081"/>
      <c r="B68" s="2082"/>
      <c r="C68" s="2082"/>
      <c r="K68" s="2071"/>
      <c r="O68" s="2362" t="s">
        <v>2377</v>
      </c>
      <c r="P68" s="2363" t="s">
        <v>2408</v>
      </c>
      <c r="Q68" s="2364" t="e">
        <f ca="1">L61</f>
        <v>#DIV/0!</v>
      </c>
      <c r="R68" s="2367" t="s">
        <v>2410</v>
      </c>
    </row>
    <row r="69" spans="1:18" s="2044" customFormat="1" ht="21.75" thickBot="1">
      <c r="A69" s="2081"/>
      <c r="B69" s="2082"/>
      <c r="C69" s="2082"/>
      <c r="K69" s="2071"/>
      <c r="O69" s="2365" t="s">
        <v>2379</v>
      </c>
      <c r="P69" s="2363" t="s">
        <v>2409</v>
      </c>
      <c r="Q69" s="2369">
        <f ca="1">L52</f>
        <v>0</v>
      </c>
      <c r="R69" s="2370" t="s">
        <v>2412</v>
      </c>
    </row>
    <row r="70" spans="1:18" s="2044" customFormat="1" ht="20.25" thickBot="1">
      <c r="A70" s="2081"/>
      <c r="B70" s="2082"/>
      <c r="C70" s="2082"/>
      <c r="K70" s="2071"/>
      <c r="O70" s="2365" t="s">
        <v>2380</v>
      </c>
      <c r="P70" s="2371" t="s">
        <v>2394</v>
      </c>
      <c r="Q70" s="2364">
        <f ca="1">ROUND(Q71-Q72*Q73,0)</f>
        <v>0</v>
      </c>
      <c r="R70" s="2367"/>
    </row>
    <row r="71" spans="1:18" s="2044" customFormat="1" ht="15.75" thickBot="1">
      <c r="A71" s="2081"/>
      <c r="B71" s="2082"/>
      <c r="C71" s="2082"/>
      <c r="K71" s="2071"/>
      <c r="O71" s="2365" t="s">
        <v>2395</v>
      </c>
      <c r="P71" s="2371" t="s">
        <v>2396</v>
      </c>
      <c r="Q71" s="2364">
        <f ca="1">C42</f>
        <v>0</v>
      </c>
      <c r="R71" s="2363" t="s">
        <v>2376</v>
      </c>
    </row>
    <row r="72" spans="1:18" s="2044" customFormat="1" ht="15.75" thickBot="1">
      <c r="A72" s="2081"/>
      <c r="B72" s="2082"/>
      <c r="C72" s="2082"/>
      <c r="K72" s="2071"/>
      <c r="O72" s="2365" t="s">
        <v>2397</v>
      </c>
      <c r="P72" s="2371" t="s">
        <v>2398</v>
      </c>
      <c r="Q72" s="2364">
        <f ca="1">C15</f>
        <v>0</v>
      </c>
      <c r="R72" s="2363" t="s">
        <v>2376</v>
      </c>
    </row>
    <row r="73" spans="1:18" s="2044" customFormat="1" ht="15.75" thickBot="1">
      <c r="A73" s="2081"/>
      <c r="B73" s="2082"/>
      <c r="C73" s="2082"/>
      <c r="K73" s="2071"/>
      <c r="O73" s="2365" t="s">
        <v>2399</v>
      </c>
      <c r="P73" s="2371" t="s">
        <v>2400</v>
      </c>
      <c r="Q73" s="2366">
        <f ca="1">F43</f>
        <v>0</v>
      </c>
      <c r="R73" s="2367"/>
    </row>
    <row r="74" spans="1:18" s="2044" customFormat="1" ht="15.75" thickBot="1">
      <c r="A74" s="2081"/>
      <c r="B74" s="2082"/>
      <c r="C74" s="2082"/>
      <c r="K74" s="2071"/>
      <c r="O74" s="2365" t="s">
        <v>2382</v>
      </c>
      <c r="P74" s="2363" t="s">
        <v>2389</v>
      </c>
      <c r="Q74" s="2366">
        <f>L53</f>
        <v>0</v>
      </c>
      <c r="R74" s="2367"/>
    </row>
    <row r="75" spans="1:18" s="2044" customFormat="1" ht="20.25" thickBot="1">
      <c r="A75" s="2081"/>
      <c r="B75" s="2082"/>
      <c r="C75" s="2082"/>
      <c r="K75" s="2071"/>
      <c r="O75" s="2365" t="s">
        <v>2384</v>
      </c>
      <c r="P75" s="2363" t="s">
        <v>2390</v>
      </c>
      <c r="Q75" s="2364">
        <f ca="1">L59</f>
        <v>0</v>
      </c>
      <c r="R75" s="2367" t="s">
        <v>2391</v>
      </c>
    </row>
    <row r="76" spans="1:18" s="2044" customFormat="1" ht="20.25" thickBot="1">
      <c r="A76" s="2081"/>
      <c r="B76" s="2082"/>
      <c r="C76" s="2082"/>
      <c r="K76" s="2071"/>
      <c r="O76" s="2365" t="s">
        <v>2413</v>
      </c>
      <c r="P76" s="2363" t="s">
        <v>2392</v>
      </c>
      <c r="Q76" s="2364">
        <f ca="1">L60</f>
        <v>0</v>
      </c>
      <c r="R76" s="2367" t="s">
        <v>2393</v>
      </c>
    </row>
    <row r="77" spans="1:18" s="2044" customFormat="1" ht="15.75" thickBot="1">
      <c r="A77" s="2081"/>
      <c r="B77" s="2082"/>
      <c r="C77" s="2082"/>
      <c r="K77" s="2071"/>
      <c r="O77" s="2362" t="s">
        <v>2387</v>
      </c>
      <c r="P77" s="2363" t="s">
        <v>2404</v>
      </c>
      <c r="Q77" s="2364" t="e">
        <f ca="1">Q67+Q68</f>
        <v>#DIV/0!</v>
      </c>
      <c r="R77" s="2367" t="s">
        <v>2388</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0" t="s">
        <v>2467</v>
      </c>
      <c r="B1" s="3511"/>
      <c r="C1" s="3512"/>
      <c r="D1" s="3513">
        <f>SUM(I10,I15,I20,I21,I23)</f>
        <v>0</v>
      </c>
      <c r="E1" s="3513"/>
      <c r="F1" s="3513"/>
      <c r="G1" s="3513"/>
      <c r="H1" s="3513"/>
      <c r="I1" s="3514"/>
    </row>
    <row r="2" spans="1:9">
      <c r="A2" s="3500" t="s">
        <v>2468</v>
      </c>
      <c r="B2" s="3501" t="s">
        <v>2469</v>
      </c>
      <c r="C2" s="3501"/>
      <c r="D2" s="2471" t="s">
        <v>2470</v>
      </c>
      <c r="E2" s="2471" t="s">
        <v>2471</v>
      </c>
      <c r="F2" s="2471" t="s">
        <v>2472</v>
      </c>
      <c r="G2" s="2471" t="s">
        <v>2473</v>
      </c>
      <c r="H2" s="2471" t="s">
        <v>2474</v>
      </c>
      <c r="I2" s="2472" t="s">
        <v>2475</v>
      </c>
    </row>
    <row r="3" spans="1:9">
      <c r="A3" s="3500"/>
      <c r="B3" s="3501" t="s">
        <v>2476</v>
      </c>
      <c r="C3" s="3501"/>
      <c r="D3" s="2473"/>
      <c r="E3" s="2471"/>
      <c r="F3" s="2474"/>
      <c r="G3" s="2474"/>
      <c r="H3" s="2475"/>
      <c r="I3" s="2476">
        <f>ROUND(D3*E3*F3*G3*H3/10000,0)</f>
        <v>0</v>
      </c>
    </row>
    <row r="4" spans="1:9">
      <c r="A4" s="3500"/>
      <c r="B4" s="3501" t="s">
        <v>2477</v>
      </c>
      <c r="C4" s="3501"/>
      <c r="D4" s="2473"/>
      <c r="E4" s="2471"/>
      <c r="F4" s="2474"/>
      <c r="G4" s="2474"/>
      <c r="H4" s="2475"/>
      <c r="I4" s="2476">
        <f t="shared" ref="I4:I9" si="0">ROUND(D4*E4*F4*G4*H4/10000,0)</f>
        <v>0</v>
      </c>
    </row>
    <row r="5" spans="1:9">
      <c r="A5" s="3500"/>
      <c r="B5" s="3501" t="s">
        <v>2478</v>
      </c>
      <c r="C5" s="3501"/>
      <c r="D5" s="2473"/>
      <c r="E5" s="2471"/>
      <c r="F5" s="2474"/>
      <c r="G5" s="2474"/>
      <c r="H5" s="2475"/>
      <c r="I5" s="2476">
        <f t="shared" si="0"/>
        <v>0</v>
      </c>
    </row>
    <row r="6" spans="1:9">
      <c r="A6" s="3500"/>
      <c r="B6" s="3501" t="s">
        <v>2479</v>
      </c>
      <c r="C6" s="3501"/>
      <c r="D6" s="2473"/>
      <c r="E6" s="2471"/>
      <c r="F6" s="2474"/>
      <c r="G6" s="2474"/>
      <c r="H6" s="2475"/>
      <c r="I6" s="2476">
        <f t="shared" si="0"/>
        <v>0</v>
      </c>
    </row>
    <row r="7" spans="1:9">
      <c r="A7" s="3500"/>
      <c r="B7" s="3501" t="s">
        <v>2480</v>
      </c>
      <c r="C7" s="3501"/>
      <c r="D7" s="2473"/>
      <c r="E7" s="2471"/>
      <c r="F7" s="2474"/>
      <c r="G7" s="2474"/>
      <c r="H7" s="2475"/>
      <c r="I7" s="2476">
        <f t="shared" si="0"/>
        <v>0</v>
      </c>
    </row>
    <row r="8" spans="1:9">
      <c r="A8" s="3500"/>
      <c r="B8" s="3501" t="s">
        <v>2481</v>
      </c>
      <c r="C8" s="3501"/>
      <c r="D8" s="2473"/>
      <c r="E8" s="2471"/>
      <c r="F8" s="2474"/>
      <c r="G8" s="2474"/>
      <c r="H8" s="2475"/>
      <c r="I8" s="2476">
        <f t="shared" si="0"/>
        <v>0</v>
      </c>
    </row>
    <row r="9" spans="1:9">
      <c r="A9" s="3500"/>
      <c r="B9" s="3501" t="s">
        <v>2482</v>
      </c>
      <c r="C9" s="3501"/>
      <c r="D9" s="2473"/>
      <c r="E9" s="2471"/>
      <c r="F9" s="2474"/>
      <c r="G9" s="2474"/>
      <c r="H9" s="2475"/>
      <c r="I9" s="2476">
        <f t="shared" si="0"/>
        <v>0</v>
      </c>
    </row>
    <row r="10" spans="1:9">
      <c r="A10" s="3500"/>
      <c r="B10" s="3502" t="s">
        <v>2483</v>
      </c>
      <c r="C10" s="3502"/>
      <c r="D10" s="2477">
        <v>527</v>
      </c>
      <c r="E10" s="2477" t="e">
        <f>ROUND(D1*10000/D10/H9,0)</f>
        <v>#DIV/0!</v>
      </c>
      <c r="F10" s="2478"/>
      <c r="G10" s="2478"/>
      <c r="H10" s="2479"/>
      <c r="I10" s="2480">
        <f>SUM(I3:I9)</f>
        <v>0</v>
      </c>
    </row>
    <row r="11" spans="1:9" ht="14.25">
      <c r="A11" s="3500" t="s">
        <v>2484</v>
      </c>
      <c r="B11" s="3501" t="s">
        <v>2485</v>
      </c>
      <c r="C11" s="3501"/>
      <c r="D11" s="2473" t="s">
        <v>2486</v>
      </c>
      <c r="E11" s="2473" t="s">
        <v>2487</v>
      </c>
      <c r="F11" s="2474" t="s">
        <v>2488</v>
      </c>
      <c r="G11" s="2474" t="s">
        <v>2489</v>
      </c>
      <c r="H11" s="2481" t="s">
        <v>2490</v>
      </c>
      <c r="I11" s="2472" t="s">
        <v>2491</v>
      </c>
    </row>
    <row r="12" spans="1:9">
      <c r="A12" s="3500"/>
      <c r="B12" s="3501" t="s">
        <v>2492</v>
      </c>
      <c r="C12" s="3501"/>
      <c r="D12" s="2473"/>
      <c r="E12" s="2473"/>
      <c r="F12" s="2474"/>
      <c r="G12" s="2475"/>
      <c r="H12" s="2482"/>
      <c r="I12" s="2472">
        <f>ROUND(D12*E12*F12*G12/10000,0)</f>
        <v>0</v>
      </c>
    </row>
    <row r="13" spans="1:9">
      <c r="A13" s="3500"/>
      <c r="B13" s="3501" t="s">
        <v>2493</v>
      </c>
      <c r="C13" s="3501"/>
      <c r="D13" s="2473"/>
      <c r="E13" s="2473"/>
      <c r="F13" s="2474"/>
      <c r="G13" s="2475"/>
      <c r="H13" s="2482"/>
      <c r="I13" s="2472">
        <f>ROUND(D13*E13*F13*G13/10000,0)</f>
        <v>0</v>
      </c>
    </row>
    <row r="14" spans="1:9">
      <c r="A14" s="3500"/>
      <c r="B14" s="3501" t="s">
        <v>2494</v>
      </c>
      <c r="C14" s="3501"/>
      <c r="D14" s="2473"/>
      <c r="E14" s="2473"/>
      <c r="F14" s="2474"/>
      <c r="G14" s="2475"/>
      <c r="H14" s="2482"/>
      <c r="I14" s="2472">
        <f>ROUND(D14*E14*F14*G14/10000,0)</f>
        <v>0</v>
      </c>
    </row>
    <row r="15" spans="1:9">
      <c r="A15" s="3500"/>
      <c r="B15" s="3502" t="s">
        <v>2483</v>
      </c>
      <c r="C15" s="3502"/>
      <c r="D15" s="2477"/>
      <c r="E15" s="2477">
        <f>SUM(E12:E14)</f>
        <v>0</v>
      </c>
      <c r="F15" s="2478"/>
      <c r="G15" s="2475"/>
      <c r="H15" s="2482"/>
      <c r="I15" s="2483">
        <f>SUM(I12:I14)</f>
        <v>0</v>
      </c>
    </row>
    <row r="16" spans="1:9" ht="24">
      <c r="A16" s="3500" t="s">
        <v>2495</v>
      </c>
      <c r="B16" s="3501" t="s">
        <v>2496</v>
      </c>
      <c r="C16" s="3501"/>
      <c r="D16" s="2473" t="s">
        <v>2497</v>
      </c>
      <c r="E16" s="2484" t="s">
        <v>2498</v>
      </c>
      <c r="F16" s="2474" t="s">
        <v>2499</v>
      </c>
      <c r="G16" s="2475" t="s">
        <v>2489</v>
      </c>
      <c r="H16" s="2481" t="s">
        <v>2490</v>
      </c>
      <c r="I16" s="2472" t="s">
        <v>2491</v>
      </c>
    </row>
    <row r="17" spans="1:9" ht="14.25">
      <c r="A17" s="3500"/>
      <c r="B17" s="3501" t="s">
        <v>2500</v>
      </c>
      <c r="C17" s="3501"/>
      <c r="D17" s="2473"/>
      <c r="E17" s="2473"/>
      <c r="F17" s="2474"/>
      <c r="G17" s="2475"/>
      <c r="H17" s="2485"/>
      <c r="I17" s="2486">
        <f>ROUND(D17*E17*F17*G17/10000,0)</f>
        <v>0</v>
      </c>
    </row>
    <row r="18" spans="1:9" ht="14.25">
      <c r="A18" s="3500"/>
      <c r="B18" s="3501" t="s">
        <v>2501</v>
      </c>
      <c r="C18" s="3501"/>
      <c r="D18" s="2473"/>
      <c r="E18" s="2473"/>
      <c r="F18" s="2474"/>
      <c r="G18" s="2475"/>
      <c r="H18" s="2485"/>
      <c r="I18" s="2486">
        <f>ROUND(D18*E18*F18*G18/10000,0)</f>
        <v>0</v>
      </c>
    </row>
    <row r="19" spans="1:9" ht="14.25">
      <c r="A19" s="3500"/>
      <c r="B19" s="3501" t="s">
        <v>2502</v>
      </c>
      <c r="C19" s="3501"/>
      <c r="D19" s="2473"/>
      <c r="E19" s="2473"/>
      <c r="F19" s="2474"/>
      <c r="G19" s="2475"/>
      <c r="H19" s="2485"/>
      <c r="I19" s="2486">
        <f>ROUND(D19*E19*F19*G19/10000,0)</f>
        <v>0</v>
      </c>
    </row>
    <row r="20" spans="1:9">
      <c r="A20" s="3500"/>
      <c r="B20" s="3502" t="s">
        <v>2483</v>
      </c>
      <c r="C20" s="3502"/>
      <c r="D20" s="2477">
        <f>SUM(D17:D19)</f>
        <v>0</v>
      </c>
      <c r="E20" s="2477"/>
      <c r="F20" s="2478"/>
      <c r="G20" s="2475"/>
      <c r="H20" s="2482"/>
      <c r="I20" s="2483">
        <f>SUM(I17:I19)</f>
        <v>0</v>
      </c>
    </row>
    <row r="21" spans="1:9">
      <c r="A21" s="3500" t="s">
        <v>2503</v>
      </c>
      <c r="B21" s="3503"/>
      <c r="C21" s="3503"/>
      <c r="D21" s="3503"/>
      <c r="E21" s="3503"/>
      <c r="F21" s="3503"/>
      <c r="G21" s="3503"/>
      <c r="H21" s="2487">
        <v>0.1</v>
      </c>
      <c r="I21" s="2480">
        <f>ROUND(I10*H21,0)</f>
        <v>0</v>
      </c>
    </row>
    <row r="22" spans="1:9" ht="14.25">
      <c r="A22" s="3504" t="s">
        <v>2504</v>
      </c>
      <c r="B22" s="3505"/>
      <c r="C22" s="3506"/>
      <c r="D22" s="2488" t="s">
        <v>2505</v>
      </c>
      <c r="E22" s="2488" t="s">
        <v>2506</v>
      </c>
      <c r="F22" s="2489" t="s">
        <v>2507</v>
      </c>
      <c r="G22" s="2489" t="s">
        <v>2508</v>
      </c>
      <c r="H22" s="2481" t="s">
        <v>2509</v>
      </c>
      <c r="I22" s="2472" t="s">
        <v>2510</v>
      </c>
    </row>
    <row r="23" spans="1:9" ht="14.25" thickBot="1">
      <c r="A23" s="3507"/>
      <c r="B23" s="3508"/>
      <c r="C23" s="3509"/>
      <c r="D23" s="2490"/>
      <c r="E23" s="2490"/>
      <c r="F23" s="2490"/>
      <c r="G23" s="2491"/>
      <c r="H23" s="2492"/>
      <c r="I23" s="2493">
        <f>ROUND(E23*D23*F23*(1-G23)/10000,0)</f>
        <v>0</v>
      </c>
    </row>
    <row r="26" spans="1:9">
      <c r="A26" s="2494" t="s">
        <v>2511</v>
      </c>
      <c r="B26" s="2494"/>
      <c r="C26" s="2494"/>
      <c r="D26" s="2494"/>
      <c r="E26" s="3497">
        <f>C27-C30-C31-C32</f>
        <v>0</v>
      </c>
      <c r="F26" s="3497"/>
      <c r="G26" s="3497"/>
      <c r="H26" s="2995" t="s">
        <v>2837</v>
      </c>
    </row>
    <row r="27" spans="1:9">
      <c r="A27" s="2495">
        <v>1</v>
      </c>
      <c r="B27" s="2496" t="s">
        <v>2512</v>
      </c>
      <c r="C27" s="2496"/>
      <c r="D27" s="2496"/>
      <c r="E27" s="3498"/>
      <c r="F27" s="3498"/>
      <c r="G27" s="3498"/>
    </row>
    <row r="28" spans="1:9">
      <c r="A28" s="2497" t="s">
        <v>2513</v>
      </c>
      <c r="B28" s="2496" t="s">
        <v>2514</v>
      </c>
      <c r="C28" s="2496"/>
      <c r="D28" s="2496"/>
      <c r="E28" s="3498"/>
      <c r="F28" s="3498"/>
      <c r="G28" s="3498"/>
    </row>
    <row r="29" spans="1:9">
      <c r="A29" s="2497" t="s">
        <v>2515</v>
      </c>
      <c r="B29" s="2496" t="s">
        <v>2456</v>
      </c>
      <c r="C29" s="2496"/>
      <c r="D29" s="2496"/>
      <c r="E29" s="2496" t="s">
        <v>2516</v>
      </c>
      <c r="F29" s="2496"/>
      <c r="G29" s="2496"/>
    </row>
    <row r="30" spans="1:9">
      <c r="A30" s="2495">
        <v>2</v>
      </c>
      <c r="B30" s="2496" t="s">
        <v>2517</v>
      </c>
      <c r="C30" s="2496">
        <f>C27*D30</f>
        <v>0</v>
      </c>
      <c r="D30" s="2498">
        <v>0.2</v>
      </c>
      <c r="E30" s="2496" t="s">
        <v>2518</v>
      </c>
      <c r="F30" s="2496"/>
      <c r="G30" s="2496"/>
    </row>
    <row r="31" spans="1:9">
      <c r="A31" s="2495">
        <v>3</v>
      </c>
      <c r="B31" s="2496" t="s">
        <v>2519</v>
      </c>
      <c r="C31" s="2496">
        <f>C25*D31</f>
        <v>0</v>
      </c>
      <c r="D31" s="2498">
        <v>0.15</v>
      </c>
      <c r="E31" s="2496" t="s">
        <v>2520</v>
      </c>
      <c r="F31" s="2496"/>
      <c r="G31" s="2496"/>
    </row>
    <row r="32" spans="1:9">
      <c r="A32" s="2495">
        <v>4</v>
      </c>
      <c r="B32" s="2496" t="s">
        <v>2521</v>
      </c>
      <c r="C32" s="2496">
        <f>C27*D32</f>
        <v>0</v>
      </c>
      <c r="D32" s="2498">
        <v>0.05</v>
      </c>
      <c r="E32" s="3499"/>
      <c r="F32" s="3499"/>
      <c r="G32" s="3499"/>
    </row>
    <row r="33" spans="1:7" hidden="1">
      <c r="A33" s="3494" t="s">
        <v>2522</v>
      </c>
      <c r="B33" s="3495"/>
      <c r="C33" s="3495"/>
      <c r="D33" s="3496"/>
      <c r="E33" s="3497"/>
      <c r="F33" s="3497"/>
      <c r="G33" s="3497"/>
    </row>
    <row r="34" spans="1:7" hidden="1">
      <c r="A34" s="2499">
        <v>1</v>
      </c>
      <c r="B34" s="2496" t="s">
        <v>2523</v>
      </c>
      <c r="C34" s="2496"/>
      <c r="D34" s="2496"/>
      <c r="E34" s="3498"/>
      <c r="F34" s="3498"/>
      <c r="G34" s="3498"/>
    </row>
    <row r="35" spans="1:7" hidden="1">
      <c r="A35" s="2499">
        <v>2</v>
      </c>
      <c r="B35" s="2496" t="s">
        <v>2524</v>
      </c>
      <c r="C35" s="2496"/>
      <c r="D35" s="2496"/>
      <c r="E35" s="3498"/>
      <c r="F35" s="3498"/>
      <c r="G35" s="3498"/>
    </row>
    <row r="36" spans="1:7" hidden="1">
      <c r="A36" s="2499">
        <v>3</v>
      </c>
      <c r="B36" s="2496" t="s">
        <v>2525</v>
      </c>
      <c r="C36" s="2496"/>
      <c r="D36" s="2496"/>
      <c r="E36" s="3498"/>
      <c r="F36" s="3498"/>
      <c r="G36" s="3498"/>
    </row>
    <row r="37" spans="1:7" hidden="1">
      <c r="A37" s="2499">
        <v>4</v>
      </c>
      <c r="B37" s="2496" t="s">
        <v>2526</v>
      </c>
      <c r="C37" s="2496"/>
      <c r="D37" s="2496"/>
      <c r="E37" s="3498"/>
      <c r="F37" s="3498"/>
      <c r="G37" s="3498"/>
    </row>
    <row r="38" spans="1:7" hidden="1">
      <c r="A38" s="3494" t="s">
        <v>2527</v>
      </c>
      <c r="B38" s="3495"/>
      <c r="C38" s="3495"/>
      <c r="D38" s="3496"/>
      <c r="E38" s="3497"/>
      <c r="F38" s="3497"/>
      <c r="G38" s="34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2436</v>
      </c>
      <c r="B8" s="2436" t="s">
        <v>2438</v>
      </c>
      <c r="C8" s="2437"/>
      <c r="D8" s="749"/>
      <c r="E8" s="750"/>
      <c r="F8" s="750"/>
      <c r="G8" s="751"/>
    </row>
    <row r="9" spans="1:25" s="2168" customFormat="1" ht="13.5" customHeight="1">
      <c r="A9" s="2433" t="s">
        <v>2437</v>
      </c>
      <c r="B9" s="2436" t="s">
        <v>2439</v>
      </c>
      <c r="C9" s="2437"/>
      <c r="D9" s="749"/>
      <c r="E9" s="750"/>
      <c r="F9" s="750"/>
      <c r="G9" s="751"/>
    </row>
    <row r="10" spans="1:25" s="2168" customFormat="1" ht="36">
      <c r="A10" s="2433">
        <v>2</v>
      </c>
      <c r="B10" s="748" t="s">
        <v>613</v>
      </c>
      <c r="C10" s="749">
        <f>C11+C14+C15</f>
        <v>0</v>
      </c>
      <c r="D10" s="760">
        <f>'数据-汇总表'!E3</f>
        <v>63070</v>
      </c>
      <c r="E10" s="749">
        <f>'数据-取费表'!B31</f>
        <v>100</v>
      </c>
      <c r="F10" s="761"/>
      <c r="G10" s="759" t="s">
        <v>614</v>
      </c>
    </row>
    <row r="11" spans="1:25" s="2168" customFormat="1" ht="13.5" customHeight="1">
      <c r="A11" s="2433" t="s">
        <v>2436</v>
      </c>
      <c r="B11" s="752" t="s">
        <v>610</v>
      </c>
      <c r="C11" s="753">
        <f>'数据-取费表'!B29</f>
        <v>0</v>
      </c>
      <c r="D11" s="754"/>
      <c r="E11" s="753"/>
      <c r="F11" s="755"/>
      <c r="G11" s="2442" t="s">
        <v>2447</v>
      </c>
    </row>
    <row r="12" spans="1:25" s="2168" customFormat="1" ht="13.5" customHeight="1">
      <c r="A12" s="2440" t="s">
        <v>2444</v>
      </c>
      <c r="B12" s="756" t="s">
        <v>611</v>
      </c>
      <c r="C12" s="757">
        <f>ROUND(D12*E12/10000,0)</f>
        <v>775</v>
      </c>
      <c r="D12" s="758">
        <f>'数据-汇总表'!E5</f>
        <v>48430</v>
      </c>
      <c r="E12" s="757">
        <f>'数据-取费表'!B27</f>
        <v>160</v>
      </c>
      <c r="F12" s="755"/>
      <c r="G12" s="759"/>
    </row>
    <row r="13" spans="1:25" s="2168" customFormat="1" ht="13.5" customHeight="1">
      <c r="A13" s="2440" t="s">
        <v>2443</v>
      </c>
      <c r="B13" s="756" t="s">
        <v>612</v>
      </c>
      <c r="C13" s="757">
        <f>ROUND(D13*E13/10000,0)</f>
        <v>293</v>
      </c>
      <c r="D13" s="758">
        <f>'数据-汇总表'!E6</f>
        <v>14640</v>
      </c>
      <c r="E13" s="757">
        <f>'数据-取费表'!B28</f>
        <v>200</v>
      </c>
      <c r="F13" s="755"/>
      <c r="G13" s="759"/>
    </row>
    <row r="14" spans="1:25" s="2168" customFormat="1" ht="13.5" customHeight="1">
      <c r="A14" s="2433" t="s">
        <v>2437</v>
      </c>
      <c r="B14" s="2439" t="s">
        <v>2440</v>
      </c>
      <c r="C14" s="2437"/>
      <c r="D14" s="758"/>
      <c r="E14" s="757"/>
      <c r="F14" s="2438"/>
      <c r="G14" s="2441" t="s">
        <v>2445</v>
      </c>
    </row>
    <row r="15" spans="1:25" s="2168" customFormat="1" ht="13.5" customHeight="1">
      <c r="A15" s="2433" t="s">
        <v>2442</v>
      </c>
      <c r="B15" s="2439" t="s">
        <v>2441</v>
      </c>
      <c r="C15" s="2437"/>
      <c r="D15" s="758"/>
      <c r="E15" s="757"/>
      <c r="F15" s="2438"/>
      <c r="G15" s="2441" t="s">
        <v>2446</v>
      </c>
    </row>
    <row r="16" spans="1:25" s="2169" customFormat="1" ht="48">
      <c r="A16" s="2433">
        <v>3</v>
      </c>
      <c r="B16" s="748" t="s">
        <v>615</v>
      </c>
      <c r="C16" s="2437"/>
      <c r="D16" s="760"/>
      <c r="E16" s="749"/>
      <c r="F16" s="761"/>
      <c r="G16" s="759" t="s">
        <v>2448</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0.94399999999999995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K16" sqref="K1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3111</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494182</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111935</v>
      </c>
      <c r="C3" s="852" t="s">
        <v>722</v>
      </c>
      <c r="D3" s="851">
        <f>SUMIF('数据-汇总表'!$C19:$C33,D1,'数据-汇总表'!$E19:$E33)</f>
        <v>44149</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415" t="s">
        <v>522</v>
      </c>
      <c r="D4" s="3416"/>
      <c r="E4" s="3440" t="s">
        <v>523</v>
      </c>
      <c r="F4" s="3441"/>
      <c r="G4" s="3415" t="s">
        <v>524</v>
      </c>
      <c r="H4" s="3416"/>
      <c r="I4" s="3415" t="s">
        <v>525</v>
      </c>
      <c r="J4" s="3416"/>
      <c r="K4" s="853" t="s">
        <v>526</v>
      </c>
      <c r="L4" s="2118"/>
      <c r="M4" s="2119"/>
      <c r="N4" s="2119"/>
      <c r="O4" s="2119"/>
      <c r="P4" s="3417" t="s">
        <v>527</v>
      </c>
      <c r="Q4" s="3418"/>
      <c r="R4" s="3403" t="s">
        <v>523</v>
      </c>
      <c r="S4" s="3404"/>
      <c r="T4" s="3403" t="s">
        <v>524</v>
      </c>
      <c r="U4" s="3404"/>
      <c r="V4" s="3423" t="s">
        <v>525</v>
      </c>
      <c r="W4" s="3423"/>
      <c r="X4" s="1554"/>
      <c r="Y4" s="3403" t="s">
        <v>527</v>
      </c>
      <c r="Z4" s="3404"/>
      <c r="AA4" s="3398" t="s">
        <v>523</v>
      </c>
      <c r="AB4" s="3398" t="s">
        <v>524</v>
      </c>
      <c r="AC4" s="3398" t="s">
        <v>525</v>
      </c>
    </row>
    <row r="5" spans="1:29" ht="15">
      <c r="A5" s="515"/>
      <c r="B5" s="516"/>
      <c r="C5" s="3444" t="s">
        <v>2912</v>
      </c>
      <c r="D5" s="3445"/>
      <c r="E5" s="3515" t="str">
        <f>住宅案例!G4</f>
        <v>葛洲坝北京中国府</v>
      </c>
      <c r="F5" s="3443"/>
      <c r="G5" s="3444" t="str">
        <f>住宅案例!G5</f>
        <v>懋源·璟岳</v>
      </c>
      <c r="H5" s="3445"/>
      <c r="I5" s="3444" t="str">
        <f>住宅案例!G6</f>
        <v>泰禾西府大院</v>
      </c>
      <c r="J5" s="3445"/>
      <c r="K5" s="854"/>
      <c r="L5" s="2118"/>
      <c r="M5" s="2119"/>
      <c r="N5" s="2119"/>
      <c r="O5" s="2119"/>
      <c r="P5" s="3419"/>
      <c r="Q5" s="3420"/>
      <c r="R5" s="3405"/>
      <c r="S5" s="3406"/>
      <c r="T5" s="3405"/>
      <c r="U5" s="3406"/>
      <c r="V5" s="3423"/>
      <c r="W5" s="3423"/>
      <c r="X5" s="1554"/>
      <c r="Y5" s="3405"/>
      <c r="Z5" s="3406"/>
      <c r="AA5" s="3399"/>
      <c r="AB5" s="3399"/>
      <c r="AC5" s="3399"/>
    </row>
    <row r="6" spans="1:29" ht="15.75" thickBot="1">
      <c r="A6" s="517"/>
      <c r="B6" s="518"/>
      <c r="C6" s="3446" t="s">
        <v>2916</v>
      </c>
      <c r="D6" s="3447"/>
      <c r="E6" s="3448" t="s">
        <v>2916</v>
      </c>
      <c r="F6" s="3449"/>
      <c r="G6" s="3446" t="s">
        <v>2916</v>
      </c>
      <c r="H6" s="3447"/>
      <c r="I6" s="3446" t="s">
        <v>2916</v>
      </c>
      <c r="J6" s="3447"/>
      <c r="K6" s="854" t="s">
        <v>528</v>
      </c>
      <c r="L6" s="2118"/>
      <c r="M6" s="2119"/>
      <c r="N6" s="2119"/>
      <c r="O6" s="2119"/>
      <c r="P6" s="3421"/>
      <c r="Q6" s="3422"/>
      <c r="R6" s="3405"/>
      <c r="S6" s="3406"/>
      <c r="T6" s="3407"/>
      <c r="U6" s="3408"/>
      <c r="V6" s="3423"/>
      <c r="W6" s="3423"/>
      <c r="X6" s="1554"/>
      <c r="Y6" s="3407"/>
      <c r="Z6" s="3408"/>
      <c r="AA6" s="3400"/>
      <c r="AB6" s="3400"/>
      <c r="AC6" s="3400"/>
    </row>
    <row r="7" spans="1:29" s="1216" customFormat="1" ht="15.75" thickBot="1">
      <c r="A7" s="2867"/>
      <c r="B7" s="2874" t="s">
        <v>529</v>
      </c>
      <c r="C7" s="519">
        <f>'数据-取费表'!B2</f>
        <v>43910</v>
      </c>
      <c r="D7" s="520">
        <v>100</v>
      </c>
      <c r="E7" s="521">
        <f>C7</f>
        <v>43910</v>
      </c>
      <c r="F7" s="522">
        <f>SUMIF(58:58,YEAR(E7)&amp;"-"&amp;MONTH(E7),59:59)</f>
        <v>100</v>
      </c>
      <c r="G7" s="523">
        <v>43831</v>
      </c>
      <c r="H7" s="520">
        <f>SUMIF(58:58,YEAR(G7)&amp;"-"&amp;MONTH(G7),59:59)</f>
        <v>100</v>
      </c>
      <c r="I7" s="523">
        <v>43770</v>
      </c>
      <c r="J7" s="520">
        <f>SUMIF(58:58,YEAR(I7)&amp;"-"&amp;MONTH(I7),59:59)</f>
        <v>100</v>
      </c>
      <c r="K7" s="855"/>
      <c r="L7" s="2120"/>
      <c r="M7" s="2121"/>
      <c r="N7" s="2121"/>
      <c r="O7" s="2121"/>
      <c r="P7" s="3401" t="s">
        <v>530</v>
      </c>
      <c r="Q7" s="3410"/>
      <c r="R7" s="1555" t="s">
        <v>13</v>
      </c>
      <c r="S7" s="1556">
        <f t="shared" ref="S7:S15" si="0">F7</f>
        <v>100</v>
      </c>
      <c r="T7" s="1555" t="s">
        <v>13</v>
      </c>
      <c r="U7" s="1556">
        <f t="shared" ref="U7:U15" si="1">H7</f>
        <v>100</v>
      </c>
      <c r="V7" s="1555" t="s">
        <v>13</v>
      </c>
      <c r="W7" s="1556">
        <f t="shared" ref="W7:W15" si="2">J7</f>
        <v>100</v>
      </c>
      <c r="X7" s="1557"/>
      <c r="Y7" s="3401" t="s">
        <v>530</v>
      </c>
      <c r="Z7" s="3402"/>
      <c r="AA7" s="1558">
        <f>D7/F7</f>
        <v>1</v>
      </c>
      <c r="AB7" s="1558">
        <f>D7/H7</f>
        <v>1</v>
      </c>
      <c r="AC7" s="1558">
        <f>D7/J7</f>
        <v>1</v>
      </c>
    </row>
    <row r="8" spans="1:29" s="1216" customFormat="1" ht="15.75" thickBot="1">
      <c r="A8" s="2868"/>
      <c r="B8" s="2875" t="s">
        <v>531</v>
      </c>
      <c r="C8" s="525" t="s">
        <v>576</v>
      </c>
      <c r="D8" s="520">
        <v>100</v>
      </c>
      <c r="E8" s="856" t="s">
        <v>3137</v>
      </c>
      <c r="F8" s="522">
        <f>SUMIF(61:61,E8,62:62)-SUMIF(61:61,C8,62:62)+100</f>
        <v>100</v>
      </c>
      <c r="G8" s="525" t="s">
        <v>3137</v>
      </c>
      <c r="H8" s="520">
        <f>SUMIF(61:61,G8,62:62)-SUMIF(61:61,C8,62:62)+100</f>
        <v>100</v>
      </c>
      <c r="I8" s="856" t="s">
        <v>3137</v>
      </c>
      <c r="J8" s="520">
        <f>SUMIF(61:61,I8,62:62)-SUMIF(61:61,C8,62:62)+100</f>
        <v>100</v>
      </c>
      <c r="K8" s="855"/>
      <c r="L8" s="2120"/>
      <c r="M8" s="2121"/>
      <c r="N8" s="2121"/>
      <c r="O8" s="2121"/>
      <c r="P8" s="3401" t="s">
        <v>533</v>
      </c>
      <c r="Q8" s="3402"/>
      <c r="R8" s="1555" t="s">
        <v>13</v>
      </c>
      <c r="S8" s="1556">
        <f t="shared" si="0"/>
        <v>100</v>
      </c>
      <c r="T8" s="1555" t="s">
        <v>13</v>
      </c>
      <c r="U8" s="1556">
        <f t="shared" si="1"/>
        <v>100</v>
      </c>
      <c r="V8" s="1555" t="s">
        <v>13</v>
      </c>
      <c r="W8" s="1556">
        <f t="shared" si="2"/>
        <v>100</v>
      </c>
      <c r="X8" s="1557"/>
      <c r="Y8" s="3401" t="s">
        <v>533</v>
      </c>
      <c r="Z8" s="3402"/>
      <c r="AA8" s="1558">
        <f t="shared" ref="AA8:AA46" si="3">D8/F8</f>
        <v>1</v>
      </c>
      <c r="AB8" s="1558">
        <f t="shared" ref="AB8:AB46" si="4">D8/H8</f>
        <v>1</v>
      </c>
      <c r="AC8" s="1558">
        <f t="shared" ref="AC8:AC46" si="5">D8/J8</f>
        <v>1</v>
      </c>
    </row>
    <row r="9" spans="1:29" s="1216" customFormat="1" ht="15">
      <c r="A9" s="2869"/>
      <c r="B9" s="2876" t="s">
        <v>2750</v>
      </c>
      <c r="C9" s="3218" t="s">
        <v>3186</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409" t="s">
        <v>535</v>
      </c>
      <c r="Q9" s="1147" t="str">
        <f t="shared" ref="Q9:Q15" si="6">B9</f>
        <v>用途</v>
      </c>
      <c r="R9" s="1555" t="s">
        <v>8</v>
      </c>
      <c r="S9" s="1556">
        <f t="shared" si="0"/>
        <v>100</v>
      </c>
      <c r="T9" s="1555" t="s">
        <v>8</v>
      </c>
      <c r="U9" s="1556">
        <f t="shared" si="1"/>
        <v>100</v>
      </c>
      <c r="V9" s="1555" t="s">
        <v>8</v>
      </c>
      <c r="W9" s="1556">
        <f t="shared" si="2"/>
        <v>100</v>
      </c>
      <c r="X9" s="1557"/>
      <c r="Y9" s="3366" t="s">
        <v>536</v>
      </c>
      <c r="Z9" s="1146" t="str">
        <f t="shared" ref="Z9:Z15" si="7">Q9</f>
        <v>用途</v>
      </c>
      <c r="AA9" s="1558">
        <f t="shared" si="3"/>
        <v>1</v>
      </c>
      <c r="AB9" s="1558">
        <f t="shared" si="4"/>
        <v>1</v>
      </c>
      <c r="AC9" s="1558">
        <f t="shared" si="5"/>
        <v>1</v>
      </c>
    </row>
    <row r="10" spans="1:29" s="1334" customFormat="1" ht="27">
      <c r="A10" s="2870"/>
      <c r="B10" s="2875" t="s">
        <v>2751</v>
      </c>
      <c r="C10" s="861" t="s">
        <v>3169</v>
      </c>
      <c r="D10" s="255">
        <v>100</v>
      </c>
      <c r="E10" s="862" t="s">
        <v>3169</v>
      </c>
      <c r="F10" s="863">
        <f>SUMIF(65:65,E10,66:66)-SUMIF(65:65,C10,66:66)+100</f>
        <v>100</v>
      </c>
      <c r="G10" s="861" t="s">
        <v>3169</v>
      </c>
      <c r="H10" s="255">
        <f>SUMIF(65:65,G10,66:66)-SUMIF(65:65,C10,66:66)+100</f>
        <v>100</v>
      </c>
      <c r="I10" s="861" t="s">
        <v>3169</v>
      </c>
      <c r="J10" s="255">
        <f>SUMIF(65:65,I10,66:66)-SUMIF(65:65,C10,66:66)+100</f>
        <v>100</v>
      </c>
      <c r="K10" s="864">
        <v>2</v>
      </c>
      <c r="L10" s="2123"/>
      <c r="M10" s="2163"/>
      <c r="N10" s="2163"/>
      <c r="O10" s="2124"/>
      <c r="P10" s="3409"/>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75" thickBot="1">
      <c r="A11" s="2871"/>
      <c r="B11" s="2875" t="s">
        <v>2752</v>
      </c>
      <c r="C11" s="533">
        <v>3</v>
      </c>
      <c r="D11" s="255">
        <v>100</v>
      </c>
      <c r="E11" s="534">
        <f>住宅案例!L4</f>
        <v>1.52</v>
      </c>
      <c r="F11" s="863">
        <f>LOOKUP(E11,68:68,69:69)-LOOKUP(C11,68:68,69:69)+100</f>
        <v>104</v>
      </c>
      <c r="G11" s="533">
        <f>住宅案例!L5</f>
        <v>2.8</v>
      </c>
      <c r="H11" s="255">
        <f>LOOKUP(G11,68:68,69:69)-LOOKUP(C11,68:68,69:69)+100</f>
        <v>102</v>
      </c>
      <c r="I11" s="533">
        <f>住宅案例!L6</f>
        <v>2</v>
      </c>
      <c r="J11" s="255">
        <f>LOOKUP(I11,68:68,69:69)-LOOKUP(C11,68:68,69:69)+100</f>
        <v>102</v>
      </c>
      <c r="K11" s="864">
        <v>2</v>
      </c>
      <c r="L11" s="2125"/>
      <c r="M11" s="2119"/>
      <c r="N11" s="2119"/>
      <c r="O11" s="2126"/>
      <c r="P11" s="3409"/>
      <c r="Q11" s="1147" t="str">
        <f t="shared" si="6"/>
        <v>容积率</v>
      </c>
      <c r="R11" s="1555" t="s">
        <v>11</v>
      </c>
      <c r="S11" s="1556">
        <f t="shared" si="0"/>
        <v>104</v>
      </c>
      <c r="T11" s="1555" t="s">
        <v>11</v>
      </c>
      <c r="U11" s="1556">
        <f t="shared" si="1"/>
        <v>102</v>
      </c>
      <c r="V11" s="1555" t="s">
        <v>11</v>
      </c>
      <c r="W11" s="1556">
        <f t="shared" si="2"/>
        <v>102</v>
      </c>
      <c r="X11" s="1557"/>
      <c r="Y11" s="3366"/>
      <c r="Z11" s="1146" t="str">
        <f t="shared" si="7"/>
        <v>容积率</v>
      </c>
      <c r="AA11" s="1558">
        <f t="shared" si="3"/>
        <v>0.96153846153846156</v>
      </c>
      <c r="AB11" s="1558">
        <f t="shared" si="4"/>
        <v>0.98039215686274506</v>
      </c>
      <c r="AC11" s="1558">
        <f t="shared" si="5"/>
        <v>0.98039215686274506</v>
      </c>
    </row>
    <row r="12" spans="1:29" s="1216"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09"/>
      <c r="Q12" s="1147">
        <f t="shared" si="6"/>
        <v>111</v>
      </c>
      <c r="R12" s="1555" t="s">
        <v>11</v>
      </c>
      <c r="S12" s="1556">
        <f t="shared" si="0"/>
        <v>100</v>
      </c>
      <c r="T12" s="1555" t="s">
        <v>11</v>
      </c>
      <c r="U12" s="1556">
        <f t="shared" si="1"/>
        <v>100</v>
      </c>
      <c r="V12" s="1555" t="s">
        <v>11</v>
      </c>
      <c r="W12" s="1556">
        <f t="shared" si="2"/>
        <v>100</v>
      </c>
      <c r="X12" s="1557"/>
      <c r="Y12" s="3366"/>
      <c r="Z12" s="1146">
        <f t="shared" si="7"/>
        <v>111</v>
      </c>
      <c r="AA12" s="1558">
        <f>D12/F12</f>
        <v>1</v>
      </c>
      <c r="AB12" s="1558">
        <f>D12/H12</f>
        <v>1</v>
      </c>
      <c r="AC12" s="1558">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09"/>
      <c r="Q13" s="1147">
        <f t="shared" si="6"/>
        <v>111</v>
      </c>
      <c r="R13" s="1555" t="s">
        <v>11</v>
      </c>
      <c r="S13" s="1556">
        <f t="shared" si="0"/>
        <v>100</v>
      </c>
      <c r="T13" s="1555" t="s">
        <v>11</v>
      </c>
      <c r="U13" s="1556">
        <f t="shared" si="1"/>
        <v>100</v>
      </c>
      <c r="V13" s="1555" t="s">
        <v>11</v>
      </c>
      <c r="W13" s="1556">
        <f t="shared" si="2"/>
        <v>100</v>
      </c>
      <c r="X13" s="1557"/>
      <c r="Y13" s="3366"/>
      <c r="Z13" s="1146">
        <f t="shared" si="7"/>
        <v>111</v>
      </c>
      <c r="AA13" s="1558">
        <f t="shared" si="3"/>
        <v>1</v>
      </c>
      <c r="AB13" s="1558">
        <f t="shared" si="4"/>
        <v>1</v>
      </c>
      <c r="AC13" s="1558">
        <f t="shared" si="5"/>
        <v>1</v>
      </c>
    </row>
    <row r="14" spans="1:29" ht="15.75"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09"/>
      <c r="Q14" s="1147">
        <f t="shared" si="6"/>
        <v>111</v>
      </c>
      <c r="R14" s="1555" t="s">
        <v>11</v>
      </c>
      <c r="S14" s="1556">
        <f t="shared" si="0"/>
        <v>100</v>
      </c>
      <c r="T14" s="1555" t="s">
        <v>11</v>
      </c>
      <c r="U14" s="1556">
        <f t="shared" si="1"/>
        <v>100</v>
      </c>
      <c r="V14" s="1555" t="s">
        <v>11</v>
      </c>
      <c r="W14" s="1556">
        <f t="shared" si="2"/>
        <v>100</v>
      </c>
      <c r="X14" s="1557"/>
      <c r="Y14" s="3366"/>
      <c r="Z14" s="1146">
        <f t="shared" si="7"/>
        <v>111</v>
      </c>
      <c r="AA14" s="1558">
        <f t="shared" si="3"/>
        <v>1</v>
      </c>
      <c r="AB14" s="1558">
        <f t="shared" si="4"/>
        <v>1</v>
      </c>
      <c r="AC14" s="1558">
        <f t="shared" si="5"/>
        <v>1</v>
      </c>
    </row>
    <row r="15" spans="1:29" ht="15">
      <c r="A15" s="2865" t="s">
        <v>2748</v>
      </c>
      <c r="B15" s="166" t="s">
        <v>295</v>
      </c>
      <c r="C15" s="867" t="str">
        <f>估价对象房地状况!C3</f>
        <v>较好</v>
      </c>
      <c r="D15" s="549">
        <v>100</v>
      </c>
      <c r="E15" s="550"/>
      <c r="F15" s="551">
        <f>SUMIF(76:76,E16,77:77)-SUMIF(76:76,C16,77:77)+100</f>
        <v>100</v>
      </c>
      <c r="G15" s="552"/>
      <c r="H15" s="549">
        <f>SUMIF(76:76,G16,77:77)-SUMIF(76:76,C16,77:77)+100</f>
        <v>95</v>
      </c>
      <c r="I15" s="550"/>
      <c r="J15" s="549">
        <f>SUMIF(76:76,I16,77:77)-SUMIF(76:76,C16,77:77)+100</f>
        <v>100</v>
      </c>
      <c r="K15" s="868">
        <v>5</v>
      </c>
      <c r="L15" s="2127"/>
      <c r="M15" s="2119"/>
      <c r="N15" s="2119"/>
      <c r="O15" s="2126"/>
      <c r="P15" s="3411" t="s">
        <v>540</v>
      </c>
      <c r="Q15" s="1559" t="str">
        <f t="shared" si="6"/>
        <v>居住社区成熟度</v>
      </c>
      <c r="R15" s="1560" t="s">
        <v>11</v>
      </c>
      <c r="S15" s="1561">
        <f t="shared" si="0"/>
        <v>100</v>
      </c>
      <c r="T15" s="1560" t="s">
        <v>11</v>
      </c>
      <c r="U15" s="1561">
        <f t="shared" si="1"/>
        <v>95</v>
      </c>
      <c r="V15" s="1560" t="s">
        <v>11</v>
      </c>
      <c r="W15" s="1561">
        <f t="shared" si="2"/>
        <v>100</v>
      </c>
      <c r="X15" s="1554"/>
      <c r="Y15" s="3411" t="s">
        <v>540</v>
      </c>
      <c r="Z15" s="1562" t="str">
        <f t="shared" si="7"/>
        <v>居住社区成熟度</v>
      </c>
      <c r="AA15" s="1563">
        <f t="shared" si="3"/>
        <v>1</v>
      </c>
      <c r="AB15" s="1563">
        <f t="shared" si="4"/>
        <v>1.0526315789473684</v>
      </c>
      <c r="AC15" s="1563">
        <f t="shared" si="5"/>
        <v>1</v>
      </c>
    </row>
    <row r="16" spans="1:29" ht="15">
      <c r="A16" s="532"/>
      <c r="B16" s="869"/>
      <c r="C16" s="576" t="s">
        <v>3139</v>
      </c>
      <c r="D16" s="555"/>
      <c r="E16" s="556" t="s">
        <v>3139</v>
      </c>
      <c r="F16" s="557"/>
      <c r="G16" s="558" t="s">
        <v>3151</v>
      </c>
      <c r="H16" s="559"/>
      <c r="I16" s="556" t="s">
        <v>3139</v>
      </c>
      <c r="J16" s="555"/>
      <c r="K16" s="870"/>
      <c r="L16" s="2127"/>
      <c r="M16" s="2119"/>
      <c r="N16" s="2119"/>
      <c r="O16" s="2126"/>
      <c r="P16" s="3412"/>
      <c r="Q16" s="1559"/>
      <c r="R16" s="1560"/>
      <c r="S16" s="1561"/>
      <c r="T16" s="1560"/>
      <c r="U16" s="1561"/>
      <c r="V16" s="1560"/>
      <c r="W16" s="1561"/>
      <c r="X16" s="1554"/>
      <c r="Y16" s="3412"/>
      <c r="Z16" s="1562"/>
      <c r="AA16" s="1563">
        <v>1</v>
      </c>
      <c r="AB16" s="1563">
        <v>1</v>
      </c>
      <c r="AC16" s="1563">
        <v>1</v>
      </c>
    </row>
    <row r="17" spans="1:29" ht="15">
      <c r="A17" s="532"/>
      <c r="B17" s="871" t="s">
        <v>296</v>
      </c>
      <c r="C17" s="872" t="str">
        <f>估价对象房地状况!C6</f>
        <v>好</v>
      </c>
      <c r="D17" s="559">
        <v>100</v>
      </c>
      <c r="E17" s="562"/>
      <c r="F17" s="563">
        <f>SUMIF(78:78,E18,79:79)-SUMIF(78:78,C18,79:79)+100</f>
        <v>100</v>
      </c>
      <c r="G17" s="564"/>
      <c r="H17" s="565">
        <f>SUMIF(78:78,G18,79:79)-SUMIF(78:78,C18,79:79)+100</f>
        <v>98</v>
      </c>
      <c r="I17" s="562"/>
      <c r="J17" s="565">
        <f>SUMIF(78:78,I18,79:79)-SUMIF(78:78,C18,79:79)+100</f>
        <v>100</v>
      </c>
      <c r="K17" s="868">
        <v>2</v>
      </c>
      <c r="L17" s="2127"/>
      <c r="M17" s="2119"/>
      <c r="N17" s="2119"/>
      <c r="O17" s="2126"/>
      <c r="P17" s="3412"/>
      <c r="Q17" s="1559" t="str">
        <f>B17</f>
        <v>交通便捷度</v>
      </c>
      <c r="R17" s="1560" t="s">
        <v>11</v>
      </c>
      <c r="S17" s="1561">
        <f>F17</f>
        <v>100</v>
      </c>
      <c r="T17" s="1560" t="s">
        <v>11</v>
      </c>
      <c r="U17" s="1561">
        <f>H17</f>
        <v>98</v>
      </c>
      <c r="V17" s="1560" t="s">
        <v>11</v>
      </c>
      <c r="W17" s="1561">
        <f>J17</f>
        <v>100</v>
      </c>
      <c r="X17" s="1554"/>
      <c r="Y17" s="3412"/>
      <c r="Z17" s="1562" t="str">
        <f>Q17</f>
        <v>交通便捷度</v>
      </c>
      <c r="AA17" s="1563">
        <f t="shared" si="3"/>
        <v>1</v>
      </c>
      <c r="AB17" s="1563">
        <f t="shared" si="4"/>
        <v>1.0204081632653061</v>
      </c>
      <c r="AC17" s="1563">
        <f t="shared" si="5"/>
        <v>1</v>
      </c>
    </row>
    <row r="18" spans="1:29" ht="15">
      <c r="A18" s="532"/>
      <c r="B18" s="595"/>
      <c r="C18" s="873" t="s">
        <v>3152</v>
      </c>
      <c r="D18" s="559"/>
      <c r="E18" s="568" t="s">
        <v>3152</v>
      </c>
      <c r="F18" s="563"/>
      <c r="G18" s="569" t="s">
        <v>3139</v>
      </c>
      <c r="H18" s="555"/>
      <c r="I18" s="568" t="s">
        <v>3152</v>
      </c>
      <c r="J18" s="555"/>
      <c r="K18" s="870"/>
      <c r="L18" s="2127"/>
      <c r="M18" s="2119"/>
      <c r="N18" s="2119"/>
      <c r="O18" s="2126"/>
      <c r="P18" s="3412"/>
      <c r="Q18" s="1559"/>
      <c r="R18" s="1560"/>
      <c r="S18" s="1561"/>
      <c r="T18" s="1560"/>
      <c r="U18" s="1561"/>
      <c r="V18" s="1560"/>
      <c r="W18" s="1561"/>
      <c r="X18" s="1554"/>
      <c r="Y18" s="3412"/>
      <c r="Z18" s="1562"/>
      <c r="AA18" s="1563">
        <v>1</v>
      </c>
      <c r="AB18" s="1563">
        <v>1</v>
      </c>
      <c r="AC18" s="1563">
        <v>1</v>
      </c>
    </row>
    <row r="19" spans="1:29" ht="15">
      <c r="A19" s="532"/>
      <c r="B19" s="2564" t="s">
        <v>2542</v>
      </c>
      <c r="C19" s="872" t="str">
        <f>估价对象房地状况!C7</f>
        <v>较好</v>
      </c>
      <c r="D19" s="565">
        <v>100</v>
      </c>
      <c r="E19" s="570"/>
      <c r="F19" s="571">
        <f>SUMIF(80:80,E20,81:81)-SUMIF(80:80,C20,81:81)+100</f>
        <v>100</v>
      </c>
      <c r="G19" s="572"/>
      <c r="H19" s="559">
        <f>SUMIF(80:80,G20,81:81)-SUMIF(80:80,C20,81:81)+100</f>
        <v>98</v>
      </c>
      <c r="I19" s="570"/>
      <c r="J19" s="559">
        <f>SUMIF(80:80,I20,81:81)-SUMIF(80:80,C20,81:81)+100</f>
        <v>100</v>
      </c>
      <c r="K19" s="868">
        <v>2</v>
      </c>
      <c r="L19" s="2127"/>
      <c r="M19" s="2119"/>
      <c r="N19" s="2119"/>
      <c r="O19" s="2126"/>
      <c r="P19" s="3412"/>
      <c r="Q19" s="1559" t="str">
        <f>B19</f>
        <v>公共配套设施</v>
      </c>
      <c r="R19" s="1560" t="s">
        <v>11</v>
      </c>
      <c r="S19" s="1561">
        <f>F19</f>
        <v>100</v>
      </c>
      <c r="T19" s="1560" t="s">
        <v>11</v>
      </c>
      <c r="U19" s="1561">
        <f>H19</f>
        <v>98</v>
      </c>
      <c r="V19" s="1560" t="s">
        <v>11</v>
      </c>
      <c r="W19" s="1561">
        <f>J19</f>
        <v>100</v>
      </c>
      <c r="X19" s="1554"/>
      <c r="Y19" s="3412"/>
      <c r="Z19" s="1562" t="str">
        <f>Q19</f>
        <v>公共配套设施</v>
      </c>
      <c r="AA19" s="1563">
        <f t="shared" si="3"/>
        <v>1</v>
      </c>
      <c r="AB19" s="1563">
        <f t="shared" si="4"/>
        <v>1.0204081632653061</v>
      </c>
      <c r="AC19" s="1563">
        <f t="shared" si="5"/>
        <v>1</v>
      </c>
    </row>
    <row r="20" spans="1:29" ht="15">
      <c r="A20" s="532"/>
      <c r="B20" s="595"/>
      <c r="C20" s="576" t="s">
        <v>3139</v>
      </c>
      <c r="D20" s="555"/>
      <c r="E20" s="556" t="s">
        <v>3139</v>
      </c>
      <c r="F20" s="557"/>
      <c r="G20" s="558" t="s">
        <v>3151</v>
      </c>
      <c r="H20" s="555"/>
      <c r="I20" s="556" t="s">
        <v>3139</v>
      </c>
      <c r="J20" s="555"/>
      <c r="K20" s="870"/>
      <c r="L20" s="2127"/>
      <c r="M20" s="2119"/>
      <c r="N20" s="2119"/>
      <c r="O20" s="2126"/>
      <c r="P20" s="3412"/>
      <c r="Q20" s="1559"/>
      <c r="R20" s="1560"/>
      <c r="S20" s="1561"/>
      <c r="T20" s="1560"/>
      <c r="U20" s="1561"/>
      <c r="V20" s="1560"/>
      <c r="W20" s="1561"/>
      <c r="X20" s="1554"/>
      <c r="Y20" s="3412"/>
      <c r="Z20" s="1562"/>
      <c r="AA20" s="1563">
        <v>1</v>
      </c>
      <c r="AB20" s="1563">
        <v>1</v>
      </c>
      <c r="AC20" s="1563">
        <v>1</v>
      </c>
    </row>
    <row r="21" spans="1:29" ht="15">
      <c r="A21" s="532"/>
      <c r="B21" s="2557" t="s">
        <v>2554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7"/>
      <c r="M21" s="2119"/>
      <c r="N21" s="2119"/>
      <c r="O21" s="2126"/>
      <c r="P21" s="3412"/>
      <c r="Q21" s="2543" t="str">
        <f>B21</f>
        <v>基础设施水平</v>
      </c>
      <c r="R21" s="1560" t="s">
        <v>11</v>
      </c>
      <c r="S21" s="1561">
        <f>F21</f>
        <v>100</v>
      </c>
      <c r="T21" s="1560" t="s">
        <v>11</v>
      </c>
      <c r="U21" s="1561">
        <f>H21</f>
        <v>100</v>
      </c>
      <c r="V21" s="1560" t="s">
        <v>11</v>
      </c>
      <c r="W21" s="1561">
        <f>J21</f>
        <v>100</v>
      </c>
      <c r="X21" s="2545"/>
      <c r="Y21" s="3412"/>
      <c r="Z21" s="2544" t="str">
        <f>Q21</f>
        <v>基础设施水平</v>
      </c>
      <c r="AA21" s="1563">
        <f>D21/F21</f>
        <v>1</v>
      </c>
      <c r="AB21" s="1563">
        <f>D21/H21</f>
        <v>1</v>
      </c>
      <c r="AC21" s="1563">
        <f>D21/J21</f>
        <v>1</v>
      </c>
    </row>
    <row r="22" spans="1:29" ht="15">
      <c r="A22" s="532"/>
      <c r="B22" s="922"/>
      <c r="C22" s="873" t="s">
        <v>3142</v>
      </c>
      <c r="D22" s="555"/>
      <c r="E22" s="576" t="s">
        <v>3142</v>
      </c>
      <c r="F22" s="557"/>
      <c r="G22" s="576" t="s">
        <v>3142</v>
      </c>
      <c r="H22" s="555"/>
      <c r="I22" s="576" t="s">
        <v>3142</v>
      </c>
      <c r="J22" s="555"/>
      <c r="K22" s="2563"/>
      <c r="L22" s="2127"/>
      <c r="M22" s="2119"/>
      <c r="N22" s="2119"/>
      <c r="O22" s="2126"/>
      <c r="P22" s="3412"/>
      <c r="Q22" s="2543"/>
      <c r="R22" s="1560"/>
      <c r="S22" s="1561"/>
      <c r="T22" s="1560"/>
      <c r="U22" s="1561"/>
      <c r="V22" s="1560"/>
      <c r="W22" s="1561"/>
      <c r="X22" s="2545"/>
      <c r="Y22" s="3412"/>
      <c r="Z22" s="2544"/>
      <c r="AA22" s="1563">
        <v>1</v>
      </c>
      <c r="AB22" s="1563">
        <v>1</v>
      </c>
      <c r="AC22" s="1563">
        <v>1</v>
      </c>
    </row>
    <row r="23" spans="1:29" ht="15">
      <c r="A23" s="532"/>
      <c r="B23" s="871" t="s">
        <v>297</v>
      </c>
      <c r="C23" s="872" t="str">
        <f>估价对象房地状况!C9</f>
        <v>一般</v>
      </c>
      <c r="D23" s="559">
        <v>100</v>
      </c>
      <c r="E23" s="562"/>
      <c r="F23" s="563">
        <f>SUMIF(84:84,E24,85:85)-SUMIF(84:84,C24,85:85)+100</f>
        <v>102</v>
      </c>
      <c r="G23" s="564"/>
      <c r="H23" s="559">
        <f>SUMIF(84:84,G24,85:85)-SUMIF(84:84,C24,85:85)+100</f>
        <v>100</v>
      </c>
      <c r="I23" s="562"/>
      <c r="J23" s="559">
        <f>SUMIF(84:84,I24,85:85)-SUMIF(84:84,C24,85:85)+100</f>
        <v>102</v>
      </c>
      <c r="K23" s="868">
        <v>2</v>
      </c>
      <c r="L23" s="2127"/>
      <c r="M23" s="2119"/>
      <c r="N23" s="2119"/>
      <c r="O23" s="2126"/>
      <c r="P23" s="3412"/>
      <c r="Q23" s="1559" t="str">
        <f>B23</f>
        <v>自然及人文环境</v>
      </c>
      <c r="R23" s="1560" t="s">
        <v>11</v>
      </c>
      <c r="S23" s="1561">
        <f>F23</f>
        <v>102</v>
      </c>
      <c r="T23" s="1560" t="s">
        <v>11</v>
      </c>
      <c r="U23" s="1561">
        <f>H23</f>
        <v>100</v>
      </c>
      <c r="V23" s="1560" t="s">
        <v>11</v>
      </c>
      <c r="W23" s="1561">
        <f>J23</f>
        <v>102</v>
      </c>
      <c r="X23" s="1554"/>
      <c r="Y23" s="3412"/>
      <c r="Z23" s="1562" t="str">
        <f>Q23</f>
        <v>自然及人文环境</v>
      </c>
      <c r="AA23" s="1563">
        <f t="shared" si="3"/>
        <v>0.98039215686274506</v>
      </c>
      <c r="AB23" s="1563">
        <f t="shared" si="4"/>
        <v>1</v>
      </c>
      <c r="AC23" s="1563">
        <f t="shared" si="5"/>
        <v>0.98039215686274506</v>
      </c>
    </row>
    <row r="24" spans="1:29" ht="15">
      <c r="A24" s="532"/>
      <c r="B24" s="595"/>
      <c r="C24" s="576" t="s">
        <v>3151</v>
      </c>
      <c r="D24" s="555"/>
      <c r="E24" s="556" t="s">
        <v>3139</v>
      </c>
      <c r="F24" s="557"/>
      <c r="G24" s="558" t="s">
        <v>3151</v>
      </c>
      <c r="H24" s="555"/>
      <c r="I24" s="556" t="s">
        <v>3139</v>
      </c>
      <c r="J24" s="555"/>
      <c r="K24" s="870"/>
      <c r="L24" s="2127"/>
      <c r="M24" s="2119"/>
      <c r="N24" s="2119"/>
      <c r="O24" s="2126"/>
      <c r="P24" s="3412"/>
      <c r="Q24" s="1559"/>
      <c r="R24" s="1560"/>
      <c r="S24" s="1561"/>
      <c r="T24" s="1560"/>
      <c r="U24" s="1561"/>
      <c r="V24" s="1560"/>
      <c r="W24" s="1561"/>
      <c r="X24" s="1554"/>
      <c r="Y24" s="3412"/>
      <c r="Z24" s="1562"/>
      <c r="AA24" s="1563">
        <v>1</v>
      </c>
      <c r="AB24" s="1563">
        <v>1</v>
      </c>
      <c r="AC24" s="1563">
        <v>1</v>
      </c>
    </row>
    <row r="25" spans="1:29" ht="15" hidden="1">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2"/>
      <c r="Q25" s="1559" t="str">
        <f t="shared" ref="Q25:Q46" si="8">B25</f>
        <v>楼层-1</v>
      </c>
      <c r="R25" s="1560" t="s">
        <v>11</v>
      </c>
      <c r="S25" s="1561">
        <f>F25</f>
        <v>100</v>
      </c>
      <c r="T25" s="1560" t="s">
        <v>11</v>
      </c>
      <c r="U25" s="1561">
        <f>H25</f>
        <v>100</v>
      </c>
      <c r="V25" s="1560" t="s">
        <v>11</v>
      </c>
      <c r="W25" s="1561">
        <f>J25</f>
        <v>100</v>
      </c>
      <c r="X25" s="1554"/>
      <c r="Y25" s="3412"/>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2"/>
      <c r="Q26" s="1559" t="str">
        <f t="shared" si="8"/>
        <v>朝向</v>
      </c>
      <c r="R26" s="1560" t="s">
        <v>11</v>
      </c>
      <c r="S26" s="1561">
        <f>F26</f>
        <v>100</v>
      </c>
      <c r="T26" s="1560" t="s">
        <v>11</v>
      </c>
      <c r="U26" s="1561">
        <f>H26</f>
        <v>100</v>
      </c>
      <c r="V26" s="1560" t="s">
        <v>11</v>
      </c>
      <c r="W26" s="1561">
        <f>J26</f>
        <v>100</v>
      </c>
      <c r="X26" s="1554"/>
      <c r="Y26" s="3412"/>
      <c r="Z26" s="1562" t="str">
        <f>Q26</f>
        <v>朝向</v>
      </c>
      <c r="AA26" s="1563">
        <f t="shared" si="3"/>
        <v>1</v>
      </c>
      <c r="AB26" s="1563">
        <f t="shared" si="4"/>
        <v>1</v>
      </c>
      <c r="AC26" s="1563">
        <f t="shared" si="5"/>
        <v>1</v>
      </c>
    </row>
    <row r="27" spans="1:29" s="1216" customFormat="1" ht="15.75" thickBot="1">
      <c r="A27" s="536"/>
      <c r="B27" s="537" t="s">
        <v>724</v>
      </c>
      <c r="C27" s="3217" t="s">
        <v>3170</v>
      </c>
      <c r="D27" s="875">
        <v>100</v>
      </c>
      <c r="E27" s="3204" t="s">
        <v>3234</v>
      </c>
      <c r="F27" s="876">
        <f>SUMIF(90:90,E27,91:91)-SUMIF(90:90,C27,91:91)+100</f>
        <v>98</v>
      </c>
      <c r="G27" s="3205" t="s">
        <v>3233</v>
      </c>
      <c r="H27" s="875">
        <f>SUMIF(90:90,G27,91:91)-SUMIF(90:90,C27,91:91)+100</f>
        <v>104</v>
      </c>
      <c r="I27" s="3204" t="s">
        <v>3232</v>
      </c>
      <c r="J27" s="875">
        <f>SUMIF(90:90,I27,91:91)-SUMIF(90:90,C27,91:91)+100</f>
        <v>98</v>
      </c>
      <c r="K27" s="865"/>
      <c r="L27" s="2120"/>
      <c r="M27" s="2121"/>
      <c r="N27" s="2121"/>
      <c r="O27" s="2122"/>
      <c r="P27" s="3412"/>
      <c r="Q27" s="1147" t="str">
        <f t="shared" si="8"/>
        <v>道路级别</v>
      </c>
      <c r="R27" s="1555" t="s">
        <v>11</v>
      </c>
      <c r="S27" s="1556">
        <f>F27</f>
        <v>98</v>
      </c>
      <c r="T27" s="1555" t="s">
        <v>11</v>
      </c>
      <c r="U27" s="1556">
        <f>H27</f>
        <v>104</v>
      </c>
      <c r="V27" s="1555" t="s">
        <v>11</v>
      </c>
      <c r="W27" s="1556">
        <f>J27</f>
        <v>98</v>
      </c>
      <c r="X27" s="1557"/>
      <c r="Y27" s="3412"/>
      <c r="Z27" s="1146" t="str">
        <f>Q27</f>
        <v>道路级别</v>
      </c>
      <c r="AA27" s="1563">
        <f>D27/F27</f>
        <v>1.0204081632653061</v>
      </c>
      <c r="AB27" s="1563">
        <f>D27/H27</f>
        <v>0.96153846153846156</v>
      </c>
      <c r="AC27" s="1563">
        <f>D27/J27</f>
        <v>1.0204081632653061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2"/>
      <c r="Q28" s="1559">
        <f t="shared" si="8"/>
        <v>111</v>
      </c>
      <c r="R28" s="1560" t="s">
        <v>11</v>
      </c>
      <c r="S28" s="1561">
        <f t="shared" ref="S28:S46" si="9">F28</f>
        <v>100</v>
      </c>
      <c r="T28" s="1560" t="s">
        <v>11</v>
      </c>
      <c r="U28" s="1561">
        <f t="shared" ref="U28:U46" si="10">H28</f>
        <v>100</v>
      </c>
      <c r="V28" s="1560" t="s">
        <v>11</v>
      </c>
      <c r="W28" s="1561">
        <f t="shared" ref="W28:W46" si="11">J28</f>
        <v>100</v>
      </c>
      <c r="X28" s="1554"/>
      <c r="Y28" s="3412"/>
      <c r="Z28" s="1562">
        <f t="shared" ref="Z28:Z46" si="12">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2"/>
      <c r="Q29" s="1559">
        <f t="shared" si="8"/>
        <v>111</v>
      </c>
      <c r="R29" s="1560" t="s">
        <v>11</v>
      </c>
      <c r="S29" s="1561">
        <f t="shared" si="9"/>
        <v>100</v>
      </c>
      <c r="T29" s="1560" t="s">
        <v>11</v>
      </c>
      <c r="U29" s="1561">
        <f t="shared" si="10"/>
        <v>100</v>
      </c>
      <c r="V29" s="1560" t="s">
        <v>11</v>
      </c>
      <c r="W29" s="1561">
        <f t="shared" si="11"/>
        <v>100</v>
      </c>
      <c r="X29" s="1554"/>
      <c r="Y29" s="3412"/>
      <c r="Z29" s="1562">
        <f t="shared" si="12"/>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2"/>
      <c r="Q30" s="1559">
        <f t="shared" si="8"/>
        <v>111</v>
      </c>
      <c r="R30" s="1560" t="s">
        <v>11</v>
      </c>
      <c r="S30" s="1561">
        <f t="shared" si="9"/>
        <v>100</v>
      </c>
      <c r="T30" s="1560" t="s">
        <v>11</v>
      </c>
      <c r="U30" s="1561">
        <f t="shared" si="10"/>
        <v>100</v>
      </c>
      <c r="V30" s="1560" t="s">
        <v>11</v>
      </c>
      <c r="W30" s="1561">
        <f t="shared" si="11"/>
        <v>100</v>
      </c>
      <c r="X30" s="1554"/>
      <c r="Y30" s="3412"/>
      <c r="Z30" s="1562">
        <f t="shared" si="12"/>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2"/>
      <c r="Q31" s="1559">
        <f t="shared" si="8"/>
        <v>111</v>
      </c>
      <c r="R31" s="1560" t="s">
        <v>11</v>
      </c>
      <c r="S31" s="1561">
        <f t="shared" si="9"/>
        <v>100</v>
      </c>
      <c r="T31" s="1560" t="s">
        <v>11</v>
      </c>
      <c r="U31" s="1561">
        <f t="shared" si="10"/>
        <v>100</v>
      </c>
      <c r="V31" s="1560" t="s">
        <v>11</v>
      </c>
      <c r="W31" s="1561">
        <f t="shared" si="11"/>
        <v>100</v>
      </c>
      <c r="X31" s="1554"/>
      <c r="Y31" s="3412"/>
      <c r="Z31" s="1562">
        <f t="shared" si="12"/>
        <v>111</v>
      </c>
      <c r="AA31" s="1563">
        <f t="shared" si="3"/>
        <v>1</v>
      </c>
      <c r="AB31" s="1563">
        <f t="shared" si="4"/>
        <v>1</v>
      </c>
      <c r="AC31" s="1563">
        <f t="shared" si="5"/>
        <v>1</v>
      </c>
    </row>
    <row r="32" spans="1:29" ht="15">
      <c r="A32" s="2862" t="s">
        <v>2749</v>
      </c>
      <c r="B32" s="172" t="s">
        <v>725</v>
      </c>
      <c r="C32" s="878" t="s">
        <v>3228</v>
      </c>
      <c r="D32" s="597">
        <v>100</v>
      </c>
      <c r="E32" s="879" t="s">
        <v>3214</v>
      </c>
      <c r="F32" s="575">
        <f>SUMIF(100:100,E32,101:101)-SUMIF(100:100,C32,101:101)+100</f>
        <v>95</v>
      </c>
      <c r="G32" s="878" t="s">
        <v>3228</v>
      </c>
      <c r="H32" s="597">
        <f>SUMIF(100:100,G32,101:101)-SUMIF(100:100,C32,101:101)+100</f>
        <v>100</v>
      </c>
      <c r="I32" s="879" t="s">
        <v>3214</v>
      </c>
      <c r="J32" s="540">
        <f>SUMIF(100:100,I32,101:101)-SUMIF(100:100,C32,101:101)+100</f>
        <v>95</v>
      </c>
      <c r="K32" s="864">
        <v>5</v>
      </c>
      <c r="L32" s="2127"/>
      <c r="M32" s="2119"/>
      <c r="N32" s="2119"/>
      <c r="O32" s="2126"/>
      <c r="P32" s="3413" t="s">
        <v>550</v>
      </c>
      <c r="Q32" s="1559" t="str">
        <f t="shared" si="8"/>
        <v>建筑类型</v>
      </c>
      <c r="R32" s="1560" t="s">
        <v>11</v>
      </c>
      <c r="S32" s="1561">
        <f t="shared" si="9"/>
        <v>95</v>
      </c>
      <c r="T32" s="1560" t="s">
        <v>11</v>
      </c>
      <c r="U32" s="1561">
        <f t="shared" si="10"/>
        <v>100</v>
      </c>
      <c r="V32" s="1560" t="s">
        <v>11</v>
      </c>
      <c r="W32" s="1561">
        <f t="shared" si="11"/>
        <v>95</v>
      </c>
      <c r="X32" s="1554"/>
      <c r="Y32" s="3414" t="s">
        <v>550</v>
      </c>
      <c r="Z32" s="1562" t="str">
        <f t="shared" si="12"/>
        <v>建筑类型</v>
      </c>
      <c r="AA32" s="1563">
        <f t="shared" si="3"/>
        <v>1.0526315789473684</v>
      </c>
      <c r="AB32" s="1563">
        <f t="shared" si="4"/>
        <v>1</v>
      </c>
      <c r="AC32" s="1563">
        <f t="shared" si="5"/>
        <v>1.0526315789473684</v>
      </c>
    </row>
    <row r="33" spans="1:29" s="1335" customFormat="1" ht="15">
      <c r="A33" s="603"/>
      <c r="B33" s="527" t="s">
        <v>726</v>
      </c>
      <c r="C33" s="880">
        <f>'数据-汇总表'!F31</f>
        <v>63070</v>
      </c>
      <c r="D33" s="255">
        <v>100</v>
      </c>
      <c r="E33" s="534">
        <f>住宅案例!$M$4</f>
        <v>67657.33</v>
      </c>
      <c r="F33" s="863">
        <f>LOOKUP(E33,103:103,104:104)-LOOKUP(C33,103:103,104:104)+100</f>
        <v>100</v>
      </c>
      <c r="G33" s="533">
        <f>住宅案例!$M$5</f>
        <v>128423</v>
      </c>
      <c r="H33" s="255">
        <f>LOOKUP(G33,103:103,104:104)-LOOKUP(C33,103:103,104:104)+100</f>
        <v>102</v>
      </c>
      <c r="I33" s="534">
        <f>住宅案例!$M$6</f>
        <v>64000</v>
      </c>
      <c r="J33" s="255">
        <f>LOOKUP(I33,103:103,104:104)-LOOKUP(C33,103:103,104:104)+100</f>
        <v>100</v>
      </c>
      <c r="K33" s="865"/>
      <c r="L33" s="2125"/>
      <c r="M33" s="2156"/>
      <c r="N33" s="2156"/>
      <c r="O33" s="2128"/>
      <c r="P33" s="3414"/>
      <c r="Q33" s="1591" t="str">
        <f t="shared" si="8"/>
        <v>项目建筑规模</v>
      </c>
      <c r="R33" s="1564" t="s">
        <v>11</v>
      </c>
      <c r="S33" s="1565">
        <f t="shared" si="9"/>
        <v>100</v>
      </c>
      <c r="T33" s="1564" t="s">
        <v>11</v>
      </c>
      <c r="U33" s="1565">
        <f t="shared" si="10"/>
        <v>102</v>
      </c>
      <c r="V33" s="1564" t="s">
        <v>11</v>
      </c>
      <c r="W33" s="1565">
        <f t="shared" si="11"/>
        <v>100</v>
      </c>
      <c r="X33" s="1566"/>
      <c r="Y33" s="3414"/>
      <c r="Z33" s="1567" t="str">
        <f t="shared" si="12"/>
        <v>项目建筑规模</v>
      </c>
      <c r="AA33" s="1563">
        <f t="shared" si="3"/>
        <v>1</v>
      </c>
      <c r="AB33" s="1563">
        <f t="shared" si="4"/>
        <v>0.98039215686274506</v>
      </c>
      <c r="AC33" s="1563">
        <f t="shared" si="5"/>
        <v>1</v>
      </c>
    </row>
    <row r="34" spans="1:29" ht="15">
      <c r="A34" s="594"/>
      <c r="B34" s="527" t="s">
        <v>727</v>
      </c>
      <c r="C34" s="881" t="s">
        <v>3235</v>
      </c>
      <c r="D34" s="540">
        <v>100</v>
      </c>
      <c r="E34" s="881" t="s">
        <v>3235</v>
      </c>
      <c r="F34" s="575">
        <f>SUMIF(105:105,E34,106:106)-SUMIF(105:105,C34,106:106)+100</f>
        <v>100</v>
      </c>
      <c r="G34" s="881" t="s">
        <v>3235</v>
      </c>
      <c r="H34" s="540">
        <f>SUMIF(105:105,G34,106:106)-SUMIF(105:105,C34,106:106)+100</f>
        <v>100</v>
      </c>
      <c r="I34" s="881" t="s">
        <v>3235</v>
      </c>
      <c r="J34" s="540">
        <f>SUMIF(105:105,I34,106:106)-SUMIF(105:105,C34,106:106)+100</f>
        <v>100</v>
      </c>
      <c r="K34" s="864">
        <v>2</v>
      </c>
      <c r="L34" s="2127"/>
      <c r="M34" s="2119"/>
      <c r="N34" s="2119"/>
      <c r="O34" s="2126"/>
      <c r="P34" s="3414"/>
      <c r="Q34" s="1559" t="str">
        <f t="shared" si="8"/>
        <v>建筑结构</v>
      </c>
      <c r="R34" s="1560" t="s">
        <v>11</v>
      </c>
      <c r="S34" s="1561">
        <f t="shared" si="9"/>
        <v>100</v>
      </c>
      <c r="T34" s="1560" t="s">
        <v>11</v>
      </c>
      <c r="U34" s="1561">
        <f t="shared" si="10"/>
        <v>100</v>
      </c>
      <c r="V34" s="1560" t="s">
        <v>11</v>
      </c>
      <c r="W34" s="1561">
        <f t="shared" si="11"/>
        <v>100</v>
      </c>
      <c r="X34" s="1554"/>
      <c r="Y34" s="3414"/>
      <c r="Z34" s="1562" t="str">
        <f t="shared" si="12"/>
        <v>建筑结构</v>
      </c>
      <c r="AA34" s="1563">
        <f t="shared" si="3"/>
        <v>1</v>
      </c>
      <c r="AB34" s="1563">
        <f t="shared" si="4"/>
        <v>1</v>
      </c>
      <c r="AC34" s="1563">
        <f t="shared" si="5"/>
        <v>1</v>
      </c>
    </row>
    <row r="35" spans="1:29" ht="15">
      <c r="A35" s="594"/>
      <c r="B35" s="527" t="s">
        <v>728</v>
      </c>
      <c r="C35" s="599" t="s">
        <v>3236</v>
      </c>
      <c r="D35" s="540">
        <v>100</v>
      </c>
      <c r="E35" s="599" t="s">
        <v>3236</v>
      </c>
      <c r="F35" s="575">
        <f>SUMIF(107:107,E35,108:108)-SUMIF(107:107,C35,108:108)+100</f>
        <v>100</v>
      </c>
      <c r="G35" s="599" t="s">
        <v>3236</v>
      </c>
      <c r="H35" s="540">
        <f>SUMIF(107:107,G35,108:108)-SUMIF(107:107,C35,108:108)+100</f>
        <v>100</v>
      </c>
      <c r="I35" s="599" t="s">
        <v>3236</v>
      </c>
      <c r="J35" s="540">
        <f>SUMIF(107:107,I35,108:108)-SUMIF(107:107,C35,108:108)+100</f>
        <v>100</v>
      </c>
      <c r="K35" s="864">
        <v>2</v>
      </c>
      <c r="L35" s="2127"/>
      <c r="M35" s="2119"/>
      <c r="N35" s="2119"/>
      <c r="O35" s="2126"/>
      <c r="P35" s="3414"/>
      <c r="Q35" s="1559" t="str">
        <f t="shared" si="8"/>
        <v>建筑品质</v>
      </c>
      <c r="R35" s="1560" t="s">
        <v>11</v>
      </c>
      <c r="S35" s="1561">
        <f t="shared" si="9"/>
        <v>100</v>
      </c>
      <c r="T35" s="1560" t="s">
        <v>11</v>
      </c>
      <c r="U35" s="1561">
        <f t="shared" si="10"/>
        <v>100</v>
      </c>
      <c r="V35" s="1560" t="s">
        <v>11</v>
      </c>
      <c r="W35" s="1561">
        <f t="shared" si="11"/>
        <v>100</v>
      </c>
      <c r="X35" s="1554"/>
      <c r="Y35" s="3414"/>
      <c r="Z35" s="1562" t="str">
        <f t="shared" si="12"/>
        <v>建筑品质</v>
      </c>
      <c r="AA35" s="1563">
        <f t="shared" si="3"/>
        <v>1</v>
      </c>
      <c r="AB35" s="1563">
        <f t="shared" si="4"/>
        <v>1</v>
      </c>
      <c r="AC35" s="1563">
        <f t="shared" si="5"/>
        <v>1</v>
      </c>
    </row>
    <row r="36" spans="1:29" ht="15">
      <c r="A36" s="594"/>
      <c r="B36" s="527" t="s">
        <v>729</v>
      </c>
      <c r="C36" s="599" t="s">
        <v>3237</v>
      </c>
      <c r="D36" s="540">
        <v>100</v>
      </c>
      <c r="E36" s="599" t="s">
        <v>3237</v>
      </c>
      <c r="F36" s="575">
        <f>SUMIF(109:109,E36,110:110)-SUMIF(109:109,C36,110:110)+100</f>
        <v>100</v>
      </c>
      <c r="G36" s="599" t="s">
        <v>3237</v>
      </c>
      <c r="H36" s="540">
        <f>SUMIF(109:109,G36,110:110)-SUMIF(109:109,C36,110:110)+100</f>
        <v>100</v>
      </c>
      <c r="I36" s="599" t="s">
        <v>3237</v>
      </c>
      <c r="J36" s="540">
        <f>SUMIF(109:109,I36,110:110)-SUMIF(109:109,C36,110:110)+100</f>
        <v>100</v>
      </c>
      <c r="K36" s="864">
        <v>2</v>
      </c>
      <c r="L36" s="2127"/>
      <c r="M36" s="2119"/>
      <c r="N36" s="2119"/>
      <c r="O36" s="2126"/>
      <c r="P36" s="3414"/>
      <c r="Q36" s="1559" t="str">
        <f t="shared" si="8"/>
        <v>公共部分装修</v>
      </c>
      <c r="R36" s="1560" t="s">
        <v>11</v>
      </c>
      <c r="S36" s="1561">
        <f t="shared" si="9"/>
        <v>100</v>
      </c>
      <c r="T36" s="1560" t="s">
        <v>11</v>
      </c>
      <c r="U36" s="1561">
        <f t="shared" si="10"/>
        <v>100</v>
      </c>
      <c r="V36" s="1560" t="s">
        <v>11</v>
      </c>
      <c r="W36" s="1561">
        <f t="shared" si="11"/>
        <v>100</v>
      </c>
      <c r="X36" s="1554"/>
      <c r="Y36" s="3414"/>
      <c r="Z36" s="1562" t="str">
        <f t="shared" si="12"/>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14"/>
      <c r="Q37" s="1147" t="str">
        <f t="shared" si="8"/>
        <v>成新度</v>
      </c>
      <c r="R37" s="1555" t="s">
        <v>11</v>
      </c>
      <c r="S37" s="1556">
        <f t="shared" si="9"/>
        <v>100</v>
      </c>
      <c r="T37" s="1555" t="s">
        <v>11</v>
      </c>
      <c r="U37" s="1556">
        <f t="shared" si="10"/>
        <v>100</v>
      </c>
      <c r="V37" s="1555" t="s">
        <v>11</v>
      </c>
      <c r="W37" s="1556">
        <f t="shared" si="11"/>
        <v>100</v>
      </c>
      <c r="X37" s="1557"/>
      <c r="Y37" s="3414"/>
      <c r="Z37" s="1146" t="str">
        <f t="shared" si="12"/>
        <v>成新度</v>
      </c>
      <c r="AA37" s="1558">
        <f t="shared" si="3"/>
        <v>1</v>
      </c>
      <c r="AB37" s="1558">
        <f t="shared" si="4"/>
        <v>1</v>
      </c>
      <c r="AC37" s="1558">
        <f t="shared" si="5"/>
        <v>1</v>
      </c>
    </row>
    <row r="38" spans="1:29" ht="15">
      <c r="A38" s="594"/>
      <c r="B38" s="527" t="s">
        <v>731</v>
      </c>
      <c r="C38" s="599" t="s">
        <v>3238</v>
      </c>
      <c r="D38" s="540">
        <v>100</v>
      </c>
      <c r="E38" s="599" t="s">
        <v>3238</v>
      </c>
      <c r="F38" s="575">
        <f>SUMIF(114:114,E38,115:115)-SUMIF(114:114,C38,115:115)+100</f>
        <v>100</v>
      </c>
      <c r="G38" s="599" t="s">
        <v>3238</v>
      </c>
      <c r="H38" s="540">
        <f>SUMIF(114:114,G38,115:115)-SUMIF(114:114,C38,115:115)+100</f>
        <v>100</v>
      </c>
      <c r="I38" s="599" t="s">
        <v>3238</v>
      </c>
      <c r="J38" s="540">
        <f>SUMIF(114:114,I38,115:115)-SUMIF(114:114,C38,115:115)+100</f>
        <v>100</v>
      </c>
      <c r="K38" s="864">
        <v>2</v>
      </c>
      <c r="L38" s="2127"/>
      <c r="M38" s="2119"/>
      <c r="N38" s="2119"/>
      <c r="O38" s="2126"/>
      <c r="P38" s="3414" t="s">
        <v>550</v>
      </c>
      <c r="Q38" s="1559" t="str">
        <f t="shared" si="8"/>
        <v>物业管理</v>
      </c>
      <c r="R38" s="1560" t="s">
        <v>11</v>
      </c>
      <c r="S38" s="1561">
        <f t="shared" si="9"/>
        <v>100</v>
      </c>
      <c r="T38" s="1560" t="s">
        <v>11</v>
      </c>
      <c r="U38" s="1561">
        <f t="shared" si="10"/>
        <v>100</v>
      </c>
      <c r="V38" s="1560" t="s">
        <v>11</v>
      </c>
      <c r="W38" s="1561">
        <f t="shared" si="11"/>
        <v>100</v>
      </c>
      <c r="X38" s="1554"/>
      <c r="Y38" s="3414" t="s">
        <v>550</v>
      </c>
      <c r="Z38" s="1562" t="str">
        <f t="shared" si="12"/>
        <v>物业管理</v>
      </c>
      <c r="AA38" s="1563">
        <f t="shared" si="3"/>
        <v>1</v>
      </c>
      <c r="AB38" s="1563">
        <f t="shared" si="4"/>
        <v>1</v>
      </c>
      <c r="AC38" s="1563">
        <f t="shared" si="5"/>
        <v>1</v>
      </c>
    </row>
    <row r="39" spans="1:29" ht="15">
      <c r="A39" s="594"/>
      <c r="B39" s="1880" t="s">
        <v>2560</v>
      </c>
      <c r="C39" s="599" t="s">
        <v>3142</v>
      </c>
      <c r="D39" s="540">
        <v>100</v>
      </c>
      <c r="E39" s="599" t="s">
        <v>3142</v>
      </c>
      <c r="F39" s="575">
        <f>SUMIF(116:116,E39,117:117)-SUMIF(116:116,C39,117:117)+100</f>
        <v>100</v>
      </c>
      <c r="G39" s="599" t="s">
        <v>3142</v>
      </c>
      <c r="H39" s="540">
        <f>SUMIF(116:116,G39,117:117)-SUMIF(116:116,C39,117:117)+100</f>
        <v>100</v>
      </c>
      <c r="I39" s="599" t="s">
        <v>3142</v>
      </c>
      <c r="J39" s="540">
        <f>SUMIF(116:116,I39,117:117)-SUMIF(116:116,C39,117:117)+100</f>
        <v>100</v>
      </c>
      <c r="K39" s="864">
        <v>2</v>
      </c>
      <c r="L39" s="2127"/>
      <c r="M39" s="2119"/>
      <c r="N39" s="2119"/>
      <c r="O39" s="2126"/>
      <c r="P39" s="3414"/>
      <c r="Q39" s="1559" t="str">
        <f t="shared" si="8"/>
        <v>市政基础设施</v>
      </c>
      <c r="R39" s="1560" t="s">
        <v>11</v>
      </c>
      <c r="S39" s="1561">
        <f t="shared" si="9"/>
        <v>100</v>
      </c>
      <c r="T39" s="1560" t="s">
        <v>11</v>
      </c>
      <c r="U39" s="1561">
        <f t="shared" si="10"/>
        <v>100</v>
      </c>
      <c r="V39" s="1560" t="s">
        <v>11</v>
      </c>
      <c r="W39" s="1561">
        <f t="shared" si="11"/>
        <v>100</v>
      </c>
      <c r="X39" s="1554"/>
      <c r="Y39" s="3414"/>
      <c r="Z39" s="1562" t="str">
        <f t="shared" si="12"/>
        <v>市政基础设施</v>
      </c>
      <c r="AA39" s="1563">
        <f t="shared" si="3"/>
        <v>1</v>
      </c>
      <c r="AB39" s="1563">
        <f t="shared" si="4"/>
        <v>1</v>
      </c>
      <c r="AC39" s="1563">
        <f t="shared" si="5"/>
        <v>1</v>
      </c>
    </row>
    <row r="40" spans="1:29" ht="15" hidden="1">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v>2</v>
      </c>
      <c r="L40" s="2127"/>
      <c r="M40" s="2119"/>
      <c r="N40" s="2119"/>
      <c r="O40" s="2126"/>
      <c r="P40" s="3414"/>
      <c r="Q40" s="1559" t="str">
        <f t="shared" si="8"/>
        <v>房型</v>
      </c>
      <c r="R40" s="1560" t="s">
        <v>11</v>
      </c>
      <c r="S40" s="1561">
        <f t="shared" si="9"/>
        <v>100</v>
      </c>
      <c r="T40" s="1560" t="s">
        <v>11</v>
      </c>
      <c r="U40" s="1561">
        <f t="shared" si="10"/>
        <v>100</v>
      </c>
      <c r="V40" s="1560" t="s">
        <v>11</v>
      </c>
      <c r="W40" s="1561">
        <f t="shared" si="11"/>
        <v>100</v>
      </c>
      <c r="X40" s="1554"/>
      <c r="Y40" s="3414"/>
      <c r="Z40" s="1562" t="str">
        <f t="shared" si="12"/>
        <v>房型</v>
      </c>
      <c r="AA40" s="1563">
        <f t="shared" si="3"/>
        <v>1</v>
      </c>
      <c r="AB40" s="1563">
        <f t="shared" si="4"/>
        <v>1</v>
      </c>
      <c r="AC40" s="1563">
        <f t="shared" si="5"/>
        <v>1</v>
      </c>
    </row>
    <row r="41" spans="1:29" s="1335" customFormat="1" ht="28.5" hidden="1">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25"/>
      <c r="M41" s="2156"/>
      <c r="N41" s="2156"/>
      <c r="O41" s="2128"/>
      <c r="P41" s="3414"/>
      <c r="Q41" s="1591" t="str">
        <f t="shared" si="8"/>
        <v>单套/主力户型建筑面积</v>
      </c>
      <c r="R41" s="1564" t="s">
        <v>11</v>
      </c>
      <c r="S41" s="1565">
        <f t="shared" si="9"/>
        <v>100</v>
      </c>
      <c r="T41" s="1564" t="s">
        <v>11</v>
      </c>
      <c r="U41" s="1565">
        <f t="shared" si="10"/>
        <v>100</v>
      </c>
      <c r="V41" s="1564" t="s">
        <v>11</v>
      </c>
      <c r="W41" s="1565">
        <f t="shared" si="11"/>
        <v>100</v>
      </c>
      <c r="X41" s="1566"/>
      <c r="Y41" s="3414"/>
      <c r="Z41" s="1567" t="str">
        <f t="shared" si="12"/>
        <v>单套/主力户型建筑面积</v>
      </c>
      <c r="AA41" s="1563">
        <f t="shared" si="3"/>
        <v>1</v>
      </c>
      <c r="AB41" s="1563">
        <f t="shared" si="4"/>
        <v>1</v>
      </c>
      <c r="AC41" s="1563">
        <f t="shared" si="5"/>
        <v>1</v>
      </c>
    </row>
    <row r="42" spans="1:29" ht="15.75" thickBot="1">
      <c r="A42" s="594"/>
      <c r="B42" s="527" t="s">
        <v>734</v>
      </c>
      <c r="C42" s="599" t="s">
        <v>3237</v>
      </c>
      <c r="D42" s="540">
        <v>100</v>
      </c>
      <c r="E42" s="599" t="s">
        <v>3237</v>
      </c>
      <c r="F42" s="575">
        <f>SUMIF(122:122,E42,123:123)-SUMIF(122:122,C42,123:123)+100</f>
        <v>100</v>
      </c>
      <c r="G42" s="599" t="s">
        <v>3239</v>
      </c>
      <c r="H42" s="540">
        <f>SUMIF(122:122,G42,123:123)-SUMIF(122:122,C42,123:123)+100</f>
        <v>103</v>
      </c>
      <c r="I42" s="599" t="s">
        <v>3239</v>
      </c>
      <c r="J42" s="540">
        <f>SUMIF(122:122,I42,123:123)-SUMIF(122:122,C42,123:123)+100</f>
        <v>103</v>
      </c>
      <c r="K42" s="864">
        <v>3</v>
      </c>
      <c r="L42" s="2127"/>
      <c r="M42" s="2119"/>
      <c r="N42" s="2119"/>
      <c r="O42" s="2126"/>
      <c r="P42" s="3414"/>
      <c r="Q42" s="1559" t="str">
        <f t="shared" si="8"/>
        <v>内部装修</v>
      </c>
      <c r="R42" s="1560" t="s">
        <v>11</v>
      </c>
      <c r="S42" s="1561">
        <f t="shared" si="9"/>
        <v>100</v>
      </c>
      <c r="T42" s="1560" t="s">
        <v>11</v>
      </c>
      <c r="U42" s="1561">
        <f t="shared" si="10"/>
        <v>103</v>
      </c>
      <c r="V42" s="1560" t="s">
        <v>11</v>
      </c>
      <c r="W42" s="1561">
        <f t="shared" si="11"/>
        <v>103</v>
      </c>
      <c r="X42" s="1554"/>
      <c r="Y42" s="3414"/>
      <c r="Z42" s="1562" t="str">
        <f t="shared" si="12"/>
        <v>内部装修</v>
      </c>
      <c r="AA42" s="1563">
        <f t="shared" si="3"/>
        <v>1</v>
      </c>
      <c r="AB42" s="1563">
        <f t="shared" si="4"/>
        <v>0.970873786407767</v>
      </c>
      <c r="AC42" s="1563">
        <f t="shared" si="5"/>
        <v>0.970873786407767</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4"/>
      <c r="Q43" s="1559" t="str">
        <f t="shared" si="8"/>
        <v>内部装修维护情况</v>
      </c>
      <c r="R43" s="1560" t="s">
        <v>11</v>
      </c>
      <c r="S43" s="1561">
        <f t="shared" si="9"/>
        <v>100</v>
      </c>
      <c r="T43" s="1560" t="s">
        <v>11</v>
      </c>
      <c r="U43" s="1561">
        <f t="shared" si="10"/>
        <v>100</v>
      </c>
      <c r="V43" s="1560" t="s">
        <v>11</v>
      </c>
      <c r="W43" s="1561">
        <f t="shared" si="11"/>
        <v>100</v>
      </c>
      <c r="X43" s="1554"/>
      <c r="Y43" s="3414"/>
      <c r="Z43" s="1562" t="str">
        <f t="shared" si="12"/>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4"/>
      <c r="Q44" s="1147">
        <f t="shared" si="8"/>
        <v>111</v>
      </c>
      <c r="R44" s="1555" t="s">
        <v>11</v>
      </c>
      <c r="S44" s="1556">
        <f t="shared" si="9"/>
        <v>100</v>
      </c>
      <c r="T44" s="1555" t="s">
        <v>11</v>
      </c>
      <c r="U44" s="1556">
        <f t="shared" si="10"/>
        <v>100</v>
      </c>
      <c r="V44" s="1555" t="s">
        <v>11</v>
      </c>
      <c r="W44" s="1556">
        <f t="shared" si="11"/>
        <v>100</v>
      </c>
      <c r="X44" s="1557"/>
      <c r="Y44" s="3414"/>
      <c r="Z44" s="1146">
        <f t="shared" si="12"/>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4"/>
      <c r="Q45" s="1559">
        <f t="shared" si="8"/>
        <v>111</v>
      </c>
      <c r="R45" s="1560" t="s">
        <v>11</v>
      </c>
      <c r="S45" s="1561">
        <f t="shared" si="9"/>
        <v>100</v>
      </c>
      <c r="T45" s="1560" t="s">
        <v>11</v>
      </c>
      <c r="U45" s="1561">
        <f t="shared" si="10"/>
        <v>100</v>
      </c>
      <c r="V45" s="1560" t="s">
        <v>11</v>
      </c>
      <c r="W45" s="1561">
        <f t="shared" si="11"/>
        <v>100</v>
      </c>
      <c r="X45" s="1554"/>
      <c r="Y45" s="3414"/>
      <c r="Z45" s="1562">
        <f t="shared" si="12"/>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8"/>
      <c r="Q46" s="1559">
        <f t="shared" si="8"/>
        <v>111</v>
      </c>
      <c r="R46" s="1560" t="s">
        <v>10</v>
      </c>
      <c r="S46" s="1561">
        <f t="shared" si="9"/>
        <v>100</v>
      </c>
      <c r="T46" s="1560" t="s">
        <v>10</v>
      </c>
      <c r="U46" s="1561">
        <f t="shared" si="10"/>
        <v>100</v>
      </c>
      <c r="V46" s="1560" t="s">
        <v>10</v>
      </c>
      <c r="W46" s="1561">
        <f t="shared" si="11"/>
        <v>100</v>
      </c>
      <c r="X46" s="1554"/>
      <c r="Y46" s="3518"/>
      <c r="Z46" s="1562">
        <f t="shared" si="12"/>
        <v>111</v>
      </c>
      <c r="AA46" s="1563">
        <f t="shared" si="3"/>
        <v>1</v>
      </c>
      <c r="AB46" s="1563">
        <f t="shared" si="4"/>
        <v>1</v>
      </c>
      <c r="AC46" s="1563">
        <f t="shared" si="5"/>
        <v>1</v>
      </c>
    </row>
    <row r="47" spans="1:29" ht="15">
      <c r="A47" s="607" t="s">
        <v>736</v>
      </c>
      <c r="B47" s="887"/>
      <c r="C47" s="2591" t="s">
        <v>9</v>
      </c>
      <c r="D47" s="2592"/>
      <c r="E47" s="2593">
        <f>住宅案例!I4</f>
        <v>113000</v>
      </c>
      <c r="F47" s="2594"/>
      <c r="G47" s="2595">
        <v>113000</v>
      </c>
      <c r="H47" s="2596"/>
      <c r="I47" s="2593">
        <v>110000</v>
      </c>
      <c r="J47" s="2596"/>
      <c r="K47" s="1592"/>
      <c r="L47" s="2129"/>
      <c r="M47" s="2130"/>
      <c r="N47" s="2119"/>
      <c r="O47" s="2130"/>
      <c r="P47" s="3409" t="str">
        <f>A47</f>
        <v>成交单价（元/平方米）</v>
      </c>
      <c r="Q47" s="3409"/>
      <c r="R47" s="3517">
        <f>E47</f>
        <v>113000</v>
      </c>
      <c r="S47" s="3517"/>
      <c r="T47" s="3517">
        <f>G47</f>
        <v>113000</v>
      </c>
      <c r="U47" s="3517"/>
      <c r="V47" s="3517">
        <f>I47</f>
        <v>110000</v>
      </c>
      <c r="W47" s="3517"/>
      <c r="X47" s="1546"/>
      <c r="Y47" s="1568"/>
      <c r="Z47" s="1546"/>
      <c r="AA47" s="1546"/>
      <c r="AB47" s="1546"/>
      <c r="AC47" s="1546"/>
    </row>
    <row r="48" spans="1:29" ht="15.75" thickBot="1">
      <c r="A48" s="615" t="s">
        <v>2754</v>
      </c>
      <c r="B48" s="888"/>
      <c r="C48" s="2597">
        <f>R49</f>
        <v>111935</v>
      </c>
      <c r="D48" s="2598"/>
      <c r="E48" s="2599">
        <f>R48</f>
        <v>114418</v>
      </c>
      <c r="F48" s="2599"/>
      <c r="G48" s="2597">
        <f>T48</f>
        <v>111130</v>
      </c>
      <c r="H48" s="2598"/>
      <c r="I48" s="2599">
        <f>V48</f>
        <v>110257</v>
      </c>
      <c r="J48" s="2598"/>
      <c r="K48" s="1593"/>
      <c r="L48" s="2129"/>
      <c r="M48" s="2130"/>
      <c r="N48" s="2130"/>
      <c r="O48" s="2130"/>
      <c r="P48" s="3409" t="str">
        <f>A48</f>
        <v>比较价格（元/平方米）</v>
      </c>
      <c r="Q48" s="3409"/>
      <c r="R48" s="3517">
        <f>IF(F1="售价",ROUND(PRODUCT(R47,AA7:AA46),0),ROUND(PRODUCT(R47,AA7:AA46),1))</f>
        <v>114418</v>
      </c>
      <c r="S48" s="3517"/>
      <c r="T48" s="3517">
        <f>IF(F1="售价",ROUND(PRODUCT(T47,AB7:AB46),0),ROUND(PRODUCT(T47,AB7:AB46),1))</f>
        <v>111130</v>
      </c>
      <c r="U48" s="3517"/>
      <c r="V48" s="3517">
        <f>IF(F1="售价",ROUND(PRODUCT(V47,AC7:AC46),0),ROUND(PRODUCT(V47,AC7:AC46),1))</f>
        <v>110257</v>
      </c>
      <c r="W48" s="3517"/>
      <c r="X48" s="1546"/>
      <c r="Y48" s="1546"/>
      <c r="Z48" s="1546"/>
      <c r="AA48" s="1546"/>
      <c r="AB48" s="1546"/>
      <c r="AC48" s="1546"/>
    </row>
    <row r="49" spans="1:29" ht="15.75" thickBot="1">
      <c r="A49" s="621" t="s">
        <v>3187</v>
      </c>
      <c r="B49" s="622"/>
      <c r="C49" s="2600">
        <f>R49</f>
        <v>111935</v>
      </c>
      <c r="D49" s="2600"/>
      <c r="E49" s="2600"/>
      <c r="F49" s="2600"/>
      <c r="G49" s="2600"/>
      <c r="H49" s="2600"/>
      <c r="I49" s="2600"/>
      <c r="J49" s="2600"/>
      <c r="K49" s="1594"/>
      <c r="L49" s="2129"/>
      <c r="M49" s="2130"/>
      <c r="N49" s="2130"/>
      <c r="O49" s="2130"/>
      <c r="P49" s="3431" t="str">
        <f>A49</f>
        <v>估价对象小高层住宅用房的比较价格（楼面单价，元/平方米）</v>
      </c>
      <c r="Q49" s="3432"/>
      <c r="R49" s="3516">
        <f>IF(F1="售价",ROUND(AVERAGE(R48:V48),0),ROUND(AVERAGE(R48:V48),1))</f>
        <v>111935</v>
      </c>
      <c r="S49" s="3516"/>
      <c r="T49" s="3516"/>
      <c r="U49" s="3516"/>
      <c r="V49" s="3516"/>
      <c r="W49" s="3516"/>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1.254867256637171E-2</v>
      </c>
      <c r="F52" s="627" t="str">
        <f>IF(OR(E52&gt;=0.3,E52&lt;=-0.3),"超过30%","")</f>
        <v/>
      </c>
      <c r="G52" s="626">
        <f>IF(G47&lt;G48,G48/G47-1,G47/G48-1)</f>
        <v>1.6827139386304424E-2</v>
      </c>
      <c r="H52" s="627" t="str">
        <f>IF(OR(G52&gt;=0.3,G52&lt;=-0.3),"超过30%","")</f>
        <v/>
      </c>
      <c r="I52" s="626">
        <f>IF(I47&lt;I48,I48/I47-1,I47/I48-1)</f>
        <v>2.3363636363635809E-3</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2.9586970215063513E-2</v>
      </c>
      <c r="F53" s="627" t="str">
        <f>IF(OR(E53&gt;=0.2,E53&lt;=-0.2),"超过20%","")</f>
        <v/>
      </c>
      <c r="G53" s="626">
        <f>IF(G48&lt;I48,I48/G48-1,G48/I48-1)</f>
        <v>7.9178646253752483E-3</v>
      </c>
      <c r="H53" s="627" t="str">
        <f>IF(OR(G53&gt;=0.2,G53&lt;=-0.2),"超过20%","")</f>
        <v/>
      </c>
      <c r="I53" s="626">
        <f>IF(I48&lt;E48,E48/I48-1,I48/E48-1)</f>
        <v>3.7739100465276509E-2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v>
      </c>
      <c r="F54" s="627" t="str">
        <f>IF(OR(E54&gt;=0.3,E54&lt;=-0.3),"超过30%","")</f>
        <v/>
      </c>
      <c r="G54" s="626">
        <f>IF(G47&lt;I47,I47/G47-1,G47/I47-1)</f>
        <v>2.7272727272727337E-2</v>
      </c>
      <c r="H54" s="627" t="str">
        <f>IF(OR(G54&gt;=0.3,G54&lt;=-0.3),"超过30%","")</f>
        <v/>
      </c>
      <c r="I54" s="626">
        <f>IF(I47&lt;E47,E47/I47-1,I47/E47-1)</f>
        <v>2.7272727272727337E-2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2020-3</v>
      </c>
      <c r="D58" s="2759">
        <f>EDATE(C58,-1)</f>
        <v>43862</v>
      </c>
      <c r="E58" s="2759">
        <f t="shared" ref="E58:O58" si="13">EDATE(D58,-1)</f>
        <v>43831</v>
      </c>
      <c r="F58" s="2759">
        <f t="shared" si="13"/>
        <v>43800</v>
      </c>
      <c r="G58" s="2759">
        <f t="shared" si="13"/>
        <v>43770</v>
      </c>
      <c r="H58" s="2759">
        <f t="shared" si="13"/>
        <v>43739</v>
      </c>
      <c r="I58" s="2759">
        <f t="shared" si="13"/>
        <v>43709</v>
      </c>
      <c r="J58" s="2759">
        <f t="shared" si="13"/>
        <v>43678</v>
      </c>
      <c r="K58" s="2759">
        <f t="shared" si="13"/>
        <v>43647</v>
      </c>
      <c r="L58" s="2759">
        <f t="shared" si="13"/>
        <v>43617</v>
      </c>
      <c r="M58" s="2759">
        <f t="shared" si="13"/>
        <v>43586</v>
      </c>
      <c r="N58" s="2759">
        <f t="shared" si="13"/>
        <v>43556</v>
      </c>
      <c r="O58" s="2759">
        <f t="shared" si="13"/>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f>C59</f>
        <v>100</v>
      </c>
      <c r="E59" s="650">
        <f t="shared" ref="E59:O59" si="14">D59</f>
        <v>100</v>
      </c>
      <c r="F59" s="650">
        <f t="shared" si="14"/>
        <v>100</v>
      </c>
      <c r="G59" s="650">
        <f t="shared" si="14"/>
        <v>100</v>
      </c>
      <c r="H59" s="650">
        <f t="shared" si="14"/>
        <v>100</v>
      </c>
      <c r="I59" s="650">
        <f t="shared" si="14"/>
        <v>100</v>
      </c>
      <c r="J59" s="650">
        <f t="shared" si="14"/>
        <v>100</v>
      </c>
      <c r="K59" s="650">
        <f t="shared" si="14"/>
        <v>100</v>
      </c>
      <c r="L59" s="650">
        <f t="shared" si="14"/>
        <v>100</v>
      </c>
      <c r="M59" s="650">
        <f t="shared" si="14"/>
        <v>100</v>
      </c>
      <c r="N59" s="650">
        <f t="shared" si="14"/>
        <v>100</v>
      </c>
      <c r="O59" s="650">
        <f t="shared" si="14"/>
        <v>100</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5">C66-$K10</f>
        <v>98</v>
      </c>
      <c r="E66" s="679">
        <f t="shared" si="15"/>
        <v>96</v>
      </c>
      <c r="F66" s="679">
        <f t="shared" si="15"/>
        <v>94</v>
      </c>
      <c r="G66" s="679">
        <f t="shared" si="15"/>
        <v>92</v>
      </c>
      <c r="H66" s="679">
        <f t="shared" si="15"/>
        <v>90</v>
      </c>
      <c r="I66" s="679">
        <f t="shared" si="15"/>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6">D68&amp;"（含）"&amp;"-"&amp;E68</f>
        <v>1（含）-2</v>
      </c>
      <c r="E67" s="682" t="str">
        <f t="shared" si="16"/>
        <v>2（含）-3</v>
      </c>
      <c r="F67" s="682" t="str">
        <f t="shared" si="16"/>
        <v>3（含）-4</v>
      </c>
      <c r="G67" s="682" t="str">
        <f t="shared" si="16"/>
        <v>4（含）-</v>
      </c>
      <c r="H67" s="682" t="str">
        <f t="shared" si="16"/>
        <v>（含）-</v>
      </c>
      <c r="I67" s="682" t="str">
        <f t="shared" si="16"/>
        <v>（含）-</v>
      </c>
      <c r="J67" s="682" t="str">
        <f t="shared" si="16"/>
        <v>（含）-</v>
      </c>
      <c r="K67" s="682" t="str">
        <f t="shared" si="16"/>
        <v>（含）-</v>
      </c>
      <c r="L67" s="682" t="str">
        <f t="shared" si="16"/>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7">C69-$K11</f>
        <v>98</v>
      </c>
      <c r="E69" s="679">
        <f t="shared" si="17"/>
        <v>96</v>
      </c>
      <c r="F69" s="679">
        <f t="shared" si="17"/>
        <v>94</v>
      </c>
      <c r="G69" s="679">
        <f t="shared" si="17"/>
        <v>92</v>
      </c>
      <c r="H69" s="679">
        <f t="shared" si="17"/>
        <v>90</v>
      </c>
      <c r="I69" s="679">
        <f t="shared" si="17"/>
        <v>88</v>
      </c>
      <c r="J69" s="679">
        <f t="shared" si="17"/>
        <v>86</v>
      </c>
      <c r="K69" s="679">
        <f t="shared" si="17"/>
        <v>84</v>
      </c>
      <c r="L69" s="679">
        <f t="shared" si="17"/>
        <v>82</v>
      </c>
      <c r="M69" s="680">
        <f t="shared" si="17"/>
        <v>80</v>
      </c>
      <c r="N69" s="2151"/>
      <c r="O69" s="2151"/>
      <c r="P69" s="2150"/>
      <c r="Q69" s="2143"/>
      <c r="R69" s="2130"/>
      <c r="S69" s="2130"/>
      <c r="T69" s="2130"/>
      <c r="U69" s="2130"/>
      <c r="V69" s="2130"/>
      <c r="W69" s="2130"/>
      <c r="X69" s="2130"/>
      <c r="Y69" s="2130"/>
      <c r="Z69" s="2130"/>
      <c r="AA69" s="2130"/>
      <c r="AB69" s="2130"/>
      <c r="AC69" s="2130"/>
    </row>
    <row r="70" spans="1:29" s="1335" customFormat="1" ht="15.75" hidden="1"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hidden="1"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hidden="1"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hidden="1"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hidden="1"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hidden="1"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18">$C$87-($C$86-E86)*$K$25</f>
        <v>100</v>
      </c>
      <c r="F87" s="679">
        <f t="shared" si="18"/>
        <v>100</v>
      </c>
      <c r="G87" s="679">
        <f t="shared" si="18"/>
        <v>100</v>
      </c>
      <c r="H87" s="679">
        <f t="shared" si="18"/>
        <v>100</v>
      </c>
      <c r="I87" s="679">
        <f t="shared" si="18"/>
        <v>100</v>
      </c>
      <c r="J87" s="679">
        <f t="shared" si="18"/>
        <v>100</v>
      </c>
      <c r="K87" s="679">
        <f t="shared" si="18"/>
        <v>100</v>
      </c>
      <c r="L87" s="679">
        <f t="shared" si="18"/>
        <v>100</v>
      </c>
      <c r="M87" s="679">
        <f t="shared" si="18"/>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19">C89-$K26</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79">
        <f t="shared" si="19"/>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202" t="s">
        <v>3171</v>
      </c>
      <c r="D90" s="3202" t="s">
        <v>3172</v>
      </c>
      <c r="E90" s="3202" t="s">
        <v>3173</v>
      </c>
      <c r="F90" s="3202" t="s">
        <v>3174</v>
      </c>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v>100</v>
      </c>
      <c r="D91" s="692">
        <v>98</v>
      </c>
      <c r="E91" s="692">
        <v>96</v>
      </c>
      <c r="F91" s="692">
        <v>94</v>
      </c>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hidden="1"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hidden="1"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hidden="1"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hidden="1"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hidden="1"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hidden="1"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hidden="1"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hidden="1"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thickTop="1">
      <c r="A100" s="664" t="s">
        <v>551</v>
      </c>
      <c r="B100" s="665" t="s">
        <v>747</v>
      </c>
      <c r="C100" s="3201" t="s">
        <v>3230</v>
      </c>
      <c r="D100" s="3201" t="s">
        <v>3229</v>
      </c>
      <c r="E100" s="3201" t="s">
        <v>3231</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0">C101-$K32</f>
        <v>95</v>
      </c>
      <c r="E101" s="679">
        <f t="shared" si="20"/>
        <v>90</v>
      </c>
      <c r="F101" s="679">
        <f t="shared" si="20"/>
        <v>85</v>
      </c>
      <c r="G101" s="679">
        <f t="shared" si="20"/>
        <v>80</v>
      </c>
      <c r="H101" s="679">
        <f t="shared" si="20"/>
        <v>75</v>
      </c>
      <c r="I101" s="679">
        <f t="shared" si="20"/>
        <v>70</v>
      </c>
      <c r="J101" s="679">
        <f t="shared" si="20"/>
        <v>65</v>
      </c>
      <c r="K101" s="679">
        <f t="shared" si="20"/>
        <v>60</v>
      </c>
      <c r="L101" s="679">
        <f t="shared" si="20"/>
        <v>55</v>
      </c>
      <c r="M101" s="679">
        <f t="shared" si="20"/>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0(含)-20000</v>
      </c>
      <c r="D102" s="708" t="str">
        <f t="shared" ref="D102:L102" si="21">D103&amp;"(含)"&amp;"-"&amp;E103</f>
        <v>20000(含)-50000</v>
      </c>
      <c r="E102" s="708" t="str">
        <f t="shared" si="21"/>
        <v>50000(含)-100000</v>
      </c>
      <c r="F102" s="708" t="str">
        <f t="shared" si="21"/>
        <v>100000(含)-150000</v>
      </c>
      <c r="G102" s="708" t="str">
        <f t="shared" si="21"/>
        <v>150000(含)-</v>
      </c>
      <c r="H102" s="708" t="str">
        <f t="shared" si="21"/>
        <v>(含)-</v>
      </c>
      <c r="I102" s="708" t="str">
        <f t="shared" si="21"/>
        <v>(含)-</v>
      </c>
      <c r="J102" s="708" t="str">
        <f t="shared" si="21"/>
        <v>(含)-</v>
      </c>
      <c r="K102" s="708" t="str">
        <f t="shared" si="21"/>
        <v>(含)-</v>
      </c>
      <c r="L102" s="708" t="str">
        <f t="shared" si="21"/>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20000</v>
      </c>
      <c r="E103" s="730">
        <v>50000</v>
      </c>
      <c r="F103" s="730">
        <v>100000</v>
      </c>
      <c r="G103" s="730">
        <v>150000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102</v>
      </c>
      <c r="E104" s="671">
        <v>104</v>
      </c>
      <c r="F104" s="671">
        <v>106</v>
      </c>
      <c r="G104" s="671">
        <v>108</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2" t="s">
        <v>3175</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2">C106-$K34</f>
        <v>98</v>
      </c>
      <c r="E106" s="679">
        <f t="shared" si="22"/>
        <v>96</v>
      </c>
      <c r="F106" s="679">
        <f t="shared" si="22"/>
        <v>94</v>
      </c>
      <c r="G106" s="679">
        <f t="shared" si="22"/>
        <v>92</v>
      </c>
      <c r="H106" s="679">
        <f t="shared" si="22"/>
        <v>90</v>
      </c>
      <c r="I106" s="679">
        <f t="shared" si="22"/>
        <v>88</v>
      </c>
      <c r="J106" s="679">
        <f t="shared" si="22"/>
        <v>86</v>
      </c>
      <c r="K106" s="679">
        <f t="shared" si="22"/>
        <v>84</v>
      </c>
      <c r="L106" s="679">
        <f t="shared" si="22"/>
        <v>82</v>
      </c>
      <c r="M106" s="679">
        <f t="shared" si="22"/>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203" t="s">
        <v>3176</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3">C108-$K35</f>
        <v>98</v>
      </c>
      <c r="E108" s="679">
        <f t="shared" si="23"/>
        <v>96</v>
      </c>
      <c r="F108" s="679">
        <f t="shared" si="23"/>
        <v>94</v>
      </c>
      <c r="G108" s="679">
        <f t="shared" si="23"/>
        <v>92</v>
      </c>
      <c r="H108" s="679">
        <f t="shared" si="23"/>
        <v>90</v>
      </c>
      <c r="I108" s="679">
        <f t="shared" si="23"/>
        <v>88</v>
      </c>
      <c r="J108" s="679">
        <f t="shared" si="23"/>
        <v>86</v>
      </c>
      <c r="K108" s="679">
        <f t="shared" si="23"/>
        <v>84</v>
      </c>
      <c r="L108" s="679">
        <f t="shared" si="23"/>
        <v>82</v>
      </c>
      <c r="M108" s="679">
        <f t="shared" si="23"/>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2" t="s">
        <v>3177</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4">C110-$K36</f>
        <v>98</v>
      </c>
      <c r="E110" s="679">
        <f t="shared" si="24"/>
        <v>96</v>
      </c>
      <c r="F110" s="679">
        <f t="shared" si="24"/>
        <v>94</v>
      </c>
      <c r="G110" s="679">
        <f t="shared" si="24"/>
        <v>92</v>
      </c>
      <c r="H110" s="679">
        <f t="shared" si="24"/>
        <v>90</v>
      </c>
      <c r="I110" s="679">
        <f t="shared" si="24"/>
        <v>88</v>
      </c>
      <c r="J110" s="679">
        <f t="shared" si="24"/>
        <v>86</v>
      </c>
      <c r="K110" s="679">
        <f t="shared" si="24"/>
        <v>84</v>
      </c>
      <c r="L110" s="679">
        <f t="shared" si="24"/>
        <v>82</v>
      </c>
      <c r="M110" s="679">
        <f t="shared" si="24"/>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2" t="s">
        <v>3178</v>
      </c>
      <c r="D114" s="3202" t="s">
        <v>3179</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5">C115-$K38</f>
        <v>98</v>
      </c>
      <c r="E115" s="679">
        <f t="shared" si="25"/>
        <v>96</v>
      </c>
      <c r="F115" s="679">
        <f t="shared" si="25"/>
        <v>94</v>
      </c>
      <c r="G115" s="679">
        <f t="shared" si="25"/>
        <v>92</v>
      </c>
      <c r="H115" s="679">
        <f t="shared" si="25"/>
        <v>90</v>
      </c>
      <c r="I115" s="679">
        <f t="shared" si="25"/>
        <v>88</v>
      </c>
      <c r="J115" s="679">
        <f t="shared" si="25"/>
        <v>86</v>
      </c>
      <c r="K115" s="679">
        <f t="shared" si="25"/>
        <v>84</v>
      </c>
      <c r="L115" s="679">
        <f t="shared" si="25"/>
        <v>82</v>
      </c>
      <c r="M115" s="679">
        <f t="shared" si="25"/>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2552</v>
      </c>
      <c r="C116" s="3202" t="s">
        <v>3180</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hidden="1"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hidden="1" thickBot="1">
      <c r="A119" s="669"/>
      <c r="B119" s="678"/>
      <c r="C119" s="679">
        <v>100</v>
      </c>
      <c r="D119" s="679">
        <f t="shared" ref="D119:M119" si="26">C119-$K40</f>
        <v>98</v>
      </c>
      <c r="E119" s="679">
        <f t="shared" si="26"/>
        <v>96</v>
      </c>
      <c r="F119" s="679">
        <f t="shared" si="26"/>
        <v>94</v>
      </c>
      <c r="G119" s="679">
        <f t="shared" si="26"/>
        <v>92</v>
      </c>
      <c r="H119" s="679">
        <f t="shared" si="26"/>
        <v>90</v>
      </c>
      <c r="I119" s="679">
        <f t="shared" si="26"/>
        <v>88</v>
      </c>
      <c r="J119" s="679">
        <f t="shared" si="26"/>
        <v>86</v>
      </c>
      <c r="K119" s="679">
        <f t="shared" si="26"/>
        <v>84</v>
      </c>
      <c r="L119" s="679">
        <f t="shared" si="26"/>
        <v>82</v>
      </c>
      <c r="M119" s="679">
        <f t="shared" si="26"/>
        <v>80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hidden="1"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hidden="1"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2" t="s">
        <v>3181</v>
      </c>
      <c r="D122" s="3202" t="s">
        <v>3177</v>
      </c>
      <c r="E122" s="3202" t="s">
        <v>3182</v>
      </c>
      <c r="F122" s="3203" t="s">
        <v>3183</v>
      </c>
      <c r="G122" s="3203" t="s">
        <v>3184</v>
      </c>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7">C123-$K42</f>
        <v>97</v>
      </c>
      <c r="E123" s="679">
        <f t="shared" si="27"/>
        <v>94</v>
      </c>
      <c r="F123" s="679">
        <f t="shared" si="27"/>
        <v>91</v>
      </c>
      <c r="G123" s="679">
        <f t="shared" si="27"/>
        <v>88</v>
      </c>
      <c r="H123" s="679">
        <f t="shared" si="27"/>
        <v>85</v>
      </c>
      <c r="I123" s="679">
        <f t="shared" si="27"/>
        <v>82</v>
      </c>
      <c r="J123" s="679">
        <f t="shared" si="27"/>
        <v>79</v>
      </c>
      <c r="K123" s="679">
        <f t="shared" si="27"/>
        <v>76</v>
      </c>
      <c r="L123" s="679">
        <f t="shared" si="27"/>
        <v>73</v>
      </c>
      <c r="M123" s="679">
        <f t="shared" si="27"/>
        <v>70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2283</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2284</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9" sqref="D9"/>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3004</v>
      </c>
      <c r="D1" s="3074" t="s">
        <v>3107</v>
      </c>
      <c r="E1" s="2351" t="s">
        <v>2370</v>
      </c>
      <c r="F1" s="2352">
        <f ca="1">J53</f>
        <v>37.1</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26115</v>
      </c>
      <c r="C2" s="2042"/>
      <c r="D2" s="2040"/>
      <c r="E2" s="2041"/>
      <c r="F2" s="2041"/>
      <c r="G2" s="1577"/>
      <c r="H2" s="2042"/>
      <c r="I2" s="2042"/>
      <c r="J2" s="2042"/>
      <c r="K2" s="2043"/>
      <c r="L2" s="2042"/>
      <c r="M2" s="2042"/>
    </row>
    <row r="3" spans="1:33" ht="18" customHeight="1" thickBot="1">
      <c r="A3" s="833" t="s">
        <v>1727</v>
      </c>
      <c r="B3" s="834">
        <f ca="1">IF(ISERROR(B2*10000/F43),0,ROUND(B2*10000/F43,0))</f>
        <v>61002</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2454</v>
      </c>
      <c r="C5" s="55">
        <f ca="1">C6+C10+C12</f>
        <v>1408</v>
      </c>
      <c r="D5" s="2460" t="s">
        <v>2457</v>
      </c>
      <c r="E5" s="2454"/>
      <c r="F5" s="2455"/>
      <c r="G5" s="1579"/>
      <c r="H5" s="781">
        <v>1</v>
      </c>
      <c r="I5" s="782" t="s">
        <v>2454</v>
      </c>
      <c r="J5" s="55">
        <f ca="1">J6+J10+J12</f>
        <v>0</v>
      </c>
      <c r="K5" s="2460" t="s">
        <v>2457</v>
      </c>
      <c r="L5" s="2454"/>
      <c r="M5" s="2455"/>
    </row>
    <row r="6" spans="1:33" ht="18" customHeight="1">
      <c r="A6" s="1815" t="s">
        <v>1824</v>
      </c>
      <c r="B6" s="3488" t="s">
        <v>2459</v>
      </c>
      <c r="C6" s="783">
        <f ca="1">ROUND(F6*F8*F7*(1-F9)/10000,0)</f>
        <v>1406</v>
      </c>
      <c r="D6" s="2461" t="s">
        <v>2458</v>
      </c>
      <c r="E6" s="784" t="s">
        <v>1738</v>
      </c>
      <c r="F6" s="785">
        <f ca="1">INDIRECT("'数据-取费表'!u"&amp;$G$1)</f>
        <v>10</v>
      </c>
      <c r="G6" s="1579"/>
      <c r="H6" s="2468" t="s">
        <v>2464</v>
      </c>
      <c r="I6" s="3488" t="s">
        <v>2459</v>
      </c>
      <c r="J6" s="783">
        <f ca="1">ROUND(M6*M8*M7*(1-M9)/10000,0)</f>
        <v>0</v>
      </c>
      <c r="K6" s="341" t="s">
        <v>1737</v>
      </c>
      <c r="L6" s="784" t="s">
        <v>1738</v>
      </c>
      <c r="M6" s="785">
        <f ca="1">INDIRECT("'数据-取费表'!z"&amp;$G$1)</f>
        <v>0</v>
      </c>
    </row>
    <row r="7" spans="1:33" ht="18" customHeight="1">
      <c r="A7" s="2464"/>
      <c r="B7" s="3489"/>
      <c r="C7" s="788"/>
      <c r="D7" s="789"/>
      <c r="E7" s="784" t="s">
        <v>1739</v>
      </c>
      <c r="F7" s="785">
        <f ca="1">IF(INDIRECT("'数据-取费表'!ah"&amp;$G$1)="",INDIRECT("'数据-取费表'!k"&amp;$G$1),INDIRECT("'数据-取费表'!ah"&amp;$G$1))</f>
        <v>4281</v>
      </c>
      <c r="G7" s="1579"/>
      <c r="H7" s="2453"/>
      <c r="I7" s="3489"/>
      <c r="J7" s="788"/>
      <c r="K7" s="789"/>
      <c r="L7" s="784" t="s">
        <v>1739</v>
      </c>
      <c r="M7" s="785">
        <f ca="1">F7</f>
        <v>4281</v>
      </c>
    </row>
    <row r="8" spans="1:33" ht="18" customHeight="1">
      <c r="A8" s="2457"/>
      <c r="B8" s="3490"/>
      <c r="C8" s="788"/>
      <c r="D8" s="789"/>
      <c r="E8" s="784" t="s">
        <v>1740</v>
      </c>
      <c r="F8" s="785">
        <f ca="1">INDIRECT("'数据-取费表'!ai"&amp;$G$1)</f>
        <v>365</v>
      </c>
      <c r="G8" s="1579"/>
      <c r="H8" s="2453"/>
      <c r="I8" s="3490"/>
      <c r="J8" s="788"/>
      <c r="K8" s="789"/>
      <c r="L8" s="784" t="s">
        <v>1740</v>
      </c>
      <c r="M8" s="785">
        <f ca="1">INDIRECT("'数据-取费表'!ai"&amp;$G$1)</f>
        <v>365</v>
      </c>
    </row>
    <row r="9" spans="1:33" ht="18" customHeight="1">
      <c r="A9" s="786"/>
      <c r="B9" s="3491"/>
      <c r="C9" s="788"/>
      <c r="D9" s="789"/>
      <c r="E9" s="784" t="s">
        <v>1741</v>
      </c>
      <c r="F9" s="794">
        <f ca="1">INDIRECT("'数据-取费表'!w"&amp;$G$1)</f>
        <v>0.1</v>
      </c>
      <c r="G9" s="1579"/>
      <c r="H9" s="2469"/>
      <c r="I9" s="3490"/>
      <c r="J9" s="788"/>
      <c r="K9" s="789"/>
      <c r="L9" s="795" t="s">
        <v>1741</v>
      </c>
      <c r="M9" s="796">
        <f ca="1">INDIRECT("'数据-取费表'!ab"&amp;$G$1)</f>
        <v>0</v>
      </c>
    </row>
    <row r="10" spans="1:33" ht="18" customHeight="1">
      <c r="A10" s="1815" t="s">
        <v>2462</v>
      </c>
      <c r="B10" s="2458" t="s">
        <v>2455</v>
      </c>
      <c r="C10" s="799">
        <f ca="1">ROUND(IF(F10="押一",C6/12*F11,IF(F10="押二",C6/12*2*F11,IF(F10="押三",C6/12*3*F11,C11*F11))),0)</f>
        <v>2</v>
      </c>
      <c r="D10" s="2465" t="s">
        <v>2956</v>
      </c>
      <c r="E10" s="2462" t="s">
        <v>2460</v>
      </c>
      <c r="F10" s="2585" t="s">
        <v>3108</v>
      </c>
      <c r="G10" s="1579"/>
      <c r="H10" s="2525" t="s">
        <v>2465</v>
      </c>
      <c r="I10" s="2530" t="s">
        <v>2455</v>
      </c>
      <c r="J10" s="783">
        <f ca="1">ROUND(IF(M10="押一",J6/12*M11,IF(M10="押二",J6/12*2*M11,IF(M10="押三",J6/12*3*M11,J11*M11))),0)</f>
        <v>0</v>
      </c>
      <c r="K10" s="2465" t="s">
        <v>2956</v>
      </c>
      <c r="L10" s="2462" t="s">
        <v>2460</v>
      </c>
      <c r="M10" s="2585"/>
    </row>
    <row r="11" spans="1:33" ht="18" customHeight="1">
      <c r="A11" s="790"/>
      <c r="B11" s="2459" t="s">
        <v>2569</v>
      </c>
      <c r="C11" s="2463"/>
      <c r="D11" s="789"/>
      <c r="E11" s="2462" t="s">
        <v>2461</v>
      </c>
      <c r="F11" s="796">
        <f ca="1">'数据-取费表'!B39</f>
        <v>1.4999999999999999E-2</v>
      </c>
      <c r="G11" s="1579"/>
      <c r="H11" s="2526"/>
      <c r="I11" s="2459" t="s">
        <v>2569</v>
      </c>
      <c r="J11" s="2463"/>
      <c r="K11" s="2527"/>
      <c r="L11" s="2462" t="s">
        <v>2461</v>
      </c>
      <c r="M11" s="2456">
        <f ca="1">'数据-取费表'!B39</f>
        <v>1.4999999999999999E-2</v>
      </c>
    </row>
    <row r="12" spans="1:33" ht="18" customHeight="1" thickBot="1">
      <c r="A12" s="2501" t="s">
        <v>2463</v>
      </c>
      <c r="B12" s="2502" t="s">
        <v>2456</v>
      </c>
      <c r="C12" s="2503"/>
      <c r="D12" s="2504"/>
      <c r="E12" s="2505"/>
      <c r="F12" s="2506"/>
      <c r="G12" s="1579"/>
      <c r="H12" s="2515" t="s">
        <v>2466</v>
      </c>
      <c r="I12" s="2528" t="s">
        <v>2456</v>
      </c>
      <c r="J12" s="2529"/>
      <c r="K12" s="2504"/>
      <c r="L12" s="2505"/>
      <c r="M12" s="2518"/>
    </row>
    <row r="13" spans="1:33" ht="18" customHeight="1" thickTop="1">
      <c r="A13" s="1814">
        <v>2</v>
      </c>
      <c r="B13" s="1812" t="s">
        <v>1742</v>
      </c>
      <c r="C13" s="792">
        <f ca="1">ROUND(C29*F13,0)</f>
        <v>2074</v>
      </c>
      <c r="D13" s="1819" t="s">
        <v>2293</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1284</v>
      </c>
      <c r="D14" s="1964" t="s">
        <v>1745</v>
      </c>
      <c r="E14" s="1965"/>
      <c r="F14" s="805"/>
      <c r="G14" s="1579"/>
      <c r="H14" s="1635" t="s">
        <v>1830</v>
      </c>
      <c r="I14" s="2216" t="s">
        <v>2820</v>
      </c>
      <c r="J14" s="53">
        <f ca="1">C29</f>
        <v>2074</v>
      </c>
      <c r="K14" s="26"/>
      <c r="L14" s="801"/>
      <c r="M14" s="802"/>
    </row>
    <row r="15" spans="1:33" s="2049" customFormat="1" ht="18" customHeight="1" thickBot="1">
      <c r="A15" s="1634" t="s">
        <v>1885</v>
      </c>
      <c r="B15" s="784" t="s">
        <v>647</v>
      </c>
      <c r="C15" s="53">
        <f ca="1">ROUND(C14*F15,0)</f>
        <v>64</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207</v>
      </c>
      <c r="K16" s="1806" t="s">
        <v>1750</v>
      </c>
      <c r="L16" s="2450"/>
      <c r="M16" s="2455"/>
    </row>
    <row r="17" spans="1:33" s="2049" customFormat="1" ht="18" customHeight="1">
      <c r="A17" s="1634" t="s">
        <v>1887</v>
      </c>
      <c r="B17" s="784" t="s">
        <v>653</v>
      </c>
      <c r="C17" s="53">
        <f ca="1">ROUND(F17*(F43+INDIRECT("'数据-取费表'!S"&amp;$G$1))/10000,0)</f>
        <v>86</v>
      </c>
      <c r="D17" s="784" t="s">
        <v>1751</v>
      </c>
      <c r="E17" s="784" t="s">
        <v>1752</v>
      </c>
      <c r="F17" s="56">
        <f>'数据-取费表'!B35</f>
        <v>200</v>
      </c>
      <c r="G17" s="1580"/>
      <c r="H17" s="1635" t="s">
        <v>1830</v>
      </c>
      <c r="I17" s="784" t="s">
        <v>656</v>
      </c>
      <c r="J17" s="53">
        <f ca="1">ROUND(IF(项目基本情况!B11="自然人",J6*M17/(1+'数据-取费表'!C42),J18+J19+J20),0)</f>
        <v>176</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19</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1453</v>
      </c>
      <c r="D19" s="261" t="s">
        <v>1757</v>
      </c>
      <c r="E19" s="1967"/>
      <c r="F19" s="56"/>
      <c r="G19" s="1579"/>
      <c r="H19" s="1634" t="s">
        <v>1885</v>
      </c>
      <c r="I19" s="784" t="s">
        <v>1758</v>
      </c>
      <c r="J19" s="53">
        <f ca="1">IF(K19="按租金收入计税",ROUND(J6*M19/(1+'数据-取费表'!C42),1),ROUND(C29*F33*0.7,1))</f>
        <v>174.2</v>
      </c>
      <c r="K19" s="811" t="s">
        <v>665</v>
      </c>
      <c r="L19" s="784" t="s">
        <v>1747</v>
      </c>
      <c r="M19" s="809">
        <f>IF(K19="按租金收入计税",'数据-取费表'!B51,'数据-取费表'!B50)</f>
        <v>1.2E-2</v>
      </c>
    </row>
    <row r="20" spans="1:33" s="2049" customFormat="1" ht="18" customHeight="1">
      <c r="A20" s="1635" t="s">
        <v>1889</v>
      </c>
      <c r="B20" s="784" t="s">
        <v>666</v>
      </c>
      <c r="C20" s="53">
        <f ca="1">ROUND(C19*F20,0)</f>
        <v>44</v>
      </c>
      <c r="D20" s="812" t="s">
        <v>1759</v>
      </c>
      <c r="E20" s="784" t="s">
        <v>1747</v>
      </c>
      <c r="F20" s="809">
        <f>'数据-取费表'!B37</f>
        <v>0.03</v>
      </c>
      <c r="G20" s="1580"/>
      <c r="H20" s="1637" t="s">
        <v>1880</v>
      </c>
      <c r="I20" s="341" t="s">
        <v>1760</v>
      </c>
      <c r="J20" s="54">
        <f ca="1">ROUND(M20*M21/10000,0)</f>
        <v>2</v>
      </c>
      <c r="K20" s="814" t="s">
        <v>1761</v>
      </c>
      <c r="L20" s="784" t="s">
        <v>1762</v>
      </c>
      <c r="M20" s="640">
        <f>'数据-取费表'!B52</f>
        <v>12</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2294</v>
      </c>
      <c r="E21" s="784" t="s">
        <v>1765</v>
      </c>
      <c r="F21" s="809">
        <f>'数据-取费表'!B38</f>
        <v>0.03</v>
      </c>
      <c r="G21" s="1580"/>
      <c r="H21" s="2470"/>
      <c r="I21" s="793"/>
      <c r="J21" s="69"/>
      <c r="K21" s="816"/>
      <c r="L21" s="784" t="s">
        <v>1766</v>
      </c>
      <c r="M21" s="785">
        <f ca="1">INDIRECT("'数据-取费表'!r"&amp;$G$1)</f>
        <v>1427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31</v>
      </c>
      <c r="K22" s="2448" t="s">
        <v>1769</v>
      </c>
      <c r="L22" s="784" t="s">
        <v>1747</v>
      </c>
      <c r="M22" s="817">
        <f ca="1">INDIRECT("'数据-取费表'!Ak"&amp;$G$1)</f>
        <v>1.4999999999999999E-2</v>
      </c>
    </row>
    <row r="23" spans="1:33" s="2049" customFormat="1" ht="18" customHeight="1">
      <c r="A23" s="1634" t="s">
        <v>1831</v>
      </c>
      <c r="B23" s="784" t="s">
        <v>2531</v>
      </c>
      <c r="C23" s="53">
        <f ca="1">ROUND(IF('数据-取费表'!B22&lt;=1,(C19+C20)*F24*F23/2,(C19+C20)*(POWER((1+F24),F23/2)-1)),0)</f>
        <v>89</v>
      </c>
      <c r="D23" s="2535"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1.8E-3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2816</v>
      </c>
      <c r="J25" s="792">
        <f ca="1">J5-J16</f>
        <v>-207</v>
      </c>
      <c r="K25" s="2512" t="s">
        <v>1777</v>
      </c>
      <c r="L25" s="2513"/>
      <c r="M25" s="2514"/>
    </row>
    <row r="26" spans="1:33" ht="18" customHeight="1">
      <c r="A26" s="1634" t="s">
        <v>1831</v>
      </c>
      <c r="B26" s="784" t="s">
        <v>2434</v>
      </c>
      <c r="C26" s="53">
        <f ca="1">ROUND((C19+C20)*F26,0)</f>
        <v>299</v>
      </c>
      <c r="D26" s="812" t="s">
        <v>1778</v>
      </c>
      <c r="E26" s="795" t="s">
        <v>1779</v>
      </c>
      <c r="F26" s="794">
        <f ca="1">INDIRECT("'数据-取费表'!q"&amp;$G$1)</f>
        <v>0.2</v>
      </c>
      <c r="G26" s="1579"/>
      <c r="H26" s="2466" t="s">
        <v>1780</v>
      </c>
      <c r="I26" s="2217" t="s">
        <v>2821</v>
      </c>
      <c r="J26" s="783">
        <f ca="1">IF(J5&lt;&gt;0,ROUND(J25*(1-((1+M28)/(1+M26))^M27)/(M26-M28),0),0)</f>
        <v>0</v>
      </c>
      <c r="K26" s="814" t="s">
        <v>1781</v>
      </c>
      <c r="L26" s="784" t="s">
        <v>2415</v>
      </c>
      <c r="M26" s="794">
        <f ca="1">INDIRECT("'数据-取费表'!I"&amp;$G$1)</f>
        <v>5.5E-2</v>
      </c>
    </row>
    <row r="27" spans="1:33" ht="18" customHeight="1">
      <c r="A27" s="1634" t="s">
        <v>1832</v>
      </c>
      <c r="B27" s="784" t="s">
        <v>686</v>
      </c>
      <c r="C27" s="53">
        <f ca="1">ROUND(F21*F26,4)</f>
        <v>6.0000000000000001E-3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2295</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2296</v>
      </c>
      <c r="C29" s="2508">
        <f ca="1">ROUND((C19+C20+C23+C26)/(1-F21-C24-C27-C28),0)</f>
        <v>2074</v>
      </c>
      <c r="D29" s="2509"/>
      <c r="E29" s="2510"/>
      <c r="F29" s="2511"/>
      <c r="G29" s="1580"/>
      <c r="H29" s="823" t="s">
        <v>1787</v>
      </c>
      <c r="I29" s="824" t="s">
        <v>1788</v>
      </c>
      <c r="J29" s="825">
        <f ca="1">ROUND(J26/(1+F40)^F41,0)</f>
        <v>0</v>
      </c>
      <c r="K29" s="826" t="s">
        <v>1789</v>
      </c>
      <c r="L29" s="827"/>
      <c r="M29" s="828">
        <f ca="1">INDIRECT("'数据-取费表'!k"&amp;$G$1)</f>
        <v>4281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300</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ROUND(IF(项目基本情况!B11="自然人",C6*F31/(1+'数据-取费表'!C42),C32+C33+C34),1)</f>
        <v>237.4</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ROUND(C6*F32/(1+'数据-取费表'!C42),1)</f>
        <v>75</v>
      </c>
      <c r="D32" s="1962"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IF(D33="按租金收入计税",ROUND(C6*F33/(1+'数据-取费表'!C42),1),IF(D33="按房产原值计税",ROUND(C29*F33*0.7,1),INDIRECT("'数据-取费表'!Aj"&amp;$G$1)))</f>
        <v>160.69999999999999</v>
      </c>
      <c r="D33" s="811" t="s">
        <v>3109</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1.7</v>
      </c>
      <c r="D34" s="814" t="s">
        <v>1799</v>
      </c>
      <c r="E34" s="784" t="s">
        <v>1800</v>
      </c>
      <c r="F34" s="640">
        <f>'数据-取费表'!B52</f>
        <v>12</v>
      </c>
      <c r="G34" s="2047"/>
      <c r="H34" s="2050"/>
      <c r="I34" s="835" t="s">
        <v>1813</v>
      </c>
      <c r="J34" s="836"/>
      <c r="K34" s="2065"/>
      <c r="L34" s="2064"/>
      <c r="M34" s="2064"/>
    </row>
    <row r="35" spans="1:18" ht="18" customHeight="1">
      <c r="A35" s="815"/>
      <c r="B35" s="793"/>
      <c r="C35" s="69"/>
      <c r="D35" s="816"/>
      <c r="E35" s="784" t="s">
        <v>1801</v>
      </c>
      <c r="F35" s="785">
        <f ca="1">INDIRECT("'数据-取费表'!r"&amp;$G$1)</f>
        <v>1427</v>
      </c>
      <c r="G35" s="2047"/>
      <c r="H35" s="2050"/>
      <c r="I35" s="837" t="s">
        <v>1814</v>
      </c>
      <c r="J35" s="838">
        <f ca="1">ROUND(C13*J36,0)</f>
        <v>166</v>
      </c>
      <c r="K35" s="2063"/>
      <c r="L35" s="2062"/>
      <c r="M35" s="2062"/>
    </row>
    <row r="36" spans="1:18" ht="18" customHeight="1">
      <c r="A36" s="1635" t="s">
        <v>1889</v>
      </c>
      <c r="B36" s="784" t="s">
        <v>1802</v>
      </c>
      <c r="C36" s="53">
        <f ca="1">ROUND(C29*F36,1)</f>
        <v>31.1</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5" t="s">
        <v>1890</v>
      </c>
      <c r="B37" s="784" t="s">
        <v>679</v>
      </c>
      <c r="C37" s="53">
        <f ca="1">ROUND(C13*F37,1)</f>
        <v>3.1</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28.2</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2816</v>
      </c>
      <c r="C39" s="792">
        <f ca="1">C5-C30</f>
        <v>1108</v>
      </c>
      <c r="D39" s="2512" t="s">
        <v>1806</v>
      </c>
      <c r="E39" s="2513"/>
      <c r="F39" s="2514"/>
      <c r="G39" s="2047"/>
      <c r="H39" s="2062"/>
      <c r="I39" s="837" t="s">
        <v>1818</v>
      </c>
      <c r="J39" s="845">
        <f ca="1">ROUND(J35/C39,3)</f>
        <v>0.15</v>
      </c>
      <c r="K39" s="2068"/>
      <c r="L39" s="2062"/>
      <c r="M39" s="2062"/>
    </row>
    <row r="40" spans="1:18" ht="18" customHeight="1">
      <c r="A40" s="781" t="s">
        <v>1895</v>
      </c>
      <c r="B40" s="2217" t="s">
        <v>2297</v>
      </c>
      <c r="C40" s="783">
        <f ca="1">ROUND(C39*(1-((1+F42)/(1+F40))^F41)/(F40-F42),0)</f>
        <v>26115</v>
      </c>
      <c r="D40" s="814" t="s">
        <v>1807</v>
      </c>
      <c r="E40" s="784" t="s">
        <v>2415</v>
      </c>
      <c r="F40" s="794">
        <f ca="1">INDIRECT("'数据-取费表'!I"&amp;$G$1)</f>
        <v>5.5E-2</v>
      </c>
      <c r="G40" s="2047"/>
      <c r="H40" s="2047"/>
      <c r="I40" s="837" t="s">
        <v>1819</v>
      </c>
      <c r="J40" s="845">
        <f ca="1">1-J39</f>
        <v>0.85</v>
      </c>
      <c r="K40" s="2068"/>
      <c r="L40" s="2047"/>
      <c r="M40" s="2047"/>
    </row>
    <row r="41" spans="1:18" ht="18" customHeight="1">
      <c r="A41" s="786"/>
      <c r="B41" s="787"/>
      <c r="C41" s="788"/>
      <c r="D41" s="821" t="s">
        <v>1808</v>
      </c>
      <c r="E41" s="784" t="s">
        <v>2946</v>
      </c>
      <c r="F41" s="822">
        <f ca="1">IF(INDIRECT("'数据-取费表'!af"&amp;$G$1)=0,INDIRECT("'数据-取费表'!ae"&amp;$G$1),INDIRECT("'数据-取费表'!af"&amp;$G$1))</f>
        <v>37.1</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7.9000000000000001E-2</v>
      </c>
      <c r="K42" s="2067"/>
      <c r="L42" s="1973"/>
      <c r="M42" s="1973"/>
    </row>
    <row r="43" spans="1:18" ht="18" customHeight="1" thickBot="1">
      <c r="A43" s="823" t="s">
        <v>1787</v>
      </c>
      <c r="B43" s="824" t="s">
        <v>1810</v>
      </c>
      <c r="C43" s="825">
        <f ca="1">ROUND(C40*10000/F43,0)</f>
        <v>61002</v>
      </c>
      <c r="D43" s="826" t="s">
        <v>1811</v>
      </c>
      <c r="E43" s="827" t="s">
        <v>1812</v>
      </c>
      <c r="F43" s="828">
        <f ca="1">INDIRECT("'数据-取费表'!k"&amp;$G$1)</f>
        <v>4281</v>
      </c>
      <c r="G43" s="2047"/>
      <c r="H43" s="1973"/>
      <c r="I43" s="847" t="s">
        <v>1822</v>
      </c>
      <c r="J43" s="848">
        <f ca="1">1-J42</f>
        <v>0.92100000000000004</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2291</v>
      </c>
      <c r="B46" s="2070"/>
      <c r="C46" s="2538">
        <f ca="1">C67-C40</f>
        <v>-26680</v>
      </c>
      <c r="D46" s="2070"/>
      <c r="E46" s="2070"/>
      <c r="F46" s="2070"/>
      <c r="I46" s="2342" t="s">
        <v>2339</v>
      </c>
      <c r="J46" s="2343"/>
      <c r="K46" s="2344"/>
      <c r="L46" s="3105">
        <f>IF(OR(M47="住宅",D1="土地（套用方法）"),0,IF(L48&gt;J51,L60,J60))</f>
        <v>0</v>
      </c>
      <c r="O46" s="2358" t="s">
        <v>2406</v>
      </c>
      <c r="P46" s="1579"/>
      <c r="Q46" s="1590"/>
      <c r="R46" s="1579"/>
    </row>
    <row r="47" spans="1:18" s="2044" customFormat="1" ht="18" customHeight="1" thickBot="1">
      <c r="A47" s="2336">
        <v>1</v>
      </c>
      <c r="B47" s="2337" t="s">
        <v>635</v>
      </c>
      <c r="C47" s="2538">
        <f ca="1">C48+C52+C54</f>
        <v>0</v>
      </c>
      <c r="D47" s="2070"/>
      <c r="E47" s="2070"/>
      <c r="F47" s="2070"/>
      <c r="I47" s="3096" t="s">
        <v>2340</v>
      </c>
      <c r="J47" s="2345" t="s">
        <v>3110</v>
      </c>
      <c r="K47" s="3102" t="s">
        <v>2345</v>
      </c>
      <c r="L47" s="3106">
        <f ca="1">INDIRECT("'数据-取费表'!d"&amp;$G$1)</f>
        <v>40</v>
      </c>
      <c r="M47" s="1590" t="str">
        <f>IF(ISNUMBER(FIND("住宅",C1)),"住宅","非住宅")</f>
        <v>非住宅</v>
      </c>
      <c r="O47" s="2359" t="s">
        <v>2371</v>
      </c>
      <c r="P47" s="2360" t="s">
        <v>2372</v>
      </c>
      <c r="Q47" s="2361" t="s">
        <v>2373</v>
      </c>
      <c r="R47" s="2360" t="s">
        <v>2374</v>
      </c>
    </row>
    <row r="48" spans="1:18" s="2044" customFormat="1" ht="18" customHeight="1" thickBot="1">
      <c r="A48" s="2606" t="s">
        <v>2533</v>
      </c>
      <c r="B48" s="2607" t="s">
        <v>2534</v>
      </c>
      <c r="C48" s="2338">
        <f ca="1">ROUND(F48*F50*F49*(1-F51)/10000,0)</f>
        <v>0</v>
      </c>
      <c r="D48" s="2339" t="s">
        <v>636</v>
      </c>
      <c r="E48" s="2340" t="s">
        <v>2292</v>
      </c>
      <c r="F48" s="2341"/>
      <c r="G48" s="2075"/>
      <c r="I48" s="3075" t="s">
        <v>2341</v>
      </c>
      <c r="J48" s="2346" t="s">
        <v>2346</v>
      </c>
      <c r="K48" s="3103" t="s">
        <v>2347</v>
      </c>
      <c r="L48" s="1893">
        <f ca="1">INDIRECT("'数据-取费表'!f"&amp;$G$1)</f>
        <v>39.6</v>
      </c>
      <c r="O48" s="2362" t="s">
        <v>2375</v>
      </c>
      <c r="P48" s="2363" t="s">
        <v>2401</v>
      </c>
      <c r="Q48" s="2364">
        <f ca="1">C40+J29</f>
        <v>26115</v>
      </c>
      <c r="R48" s="2363" t="s">
        <v>2376</v>
      </c>
    </row>
    <row r="49" spans="1:18" s="2044" customFormat="1" ht="18" customHeight="1" thickBot="1">
      <c r="A49" s="786"/>
      <c r="B49" s="787"/>
      <c r="C49" s="788"/>
      <c r="D49" s="789"/>
      <c r="E49" s="784" t="s">
        <v>1739</v>
      </c>
      <c r="F49" s="785">
        <f ca="1">F7</f>
        <v>4281</v>
      </c>
      <c r="G49" s="2075"/>
      <c r="H49" s="2078"/>
      <c r="I49" s="3075" t="s">
        <v>2342</v>
      </c>
      <c r="J49" s="2347">
        <v>2022</v>
      </c>
      <c r="K49" s="3104" t="s">
        <v>2348</v>
      </c>
      <c r="L49" s="2348"/>
      <c r="O49" s="2362" t="s">
        <v>2377</v>
      </c>
      <c r="P49" s="2363" t="s">
        <v>2402</v>
      </c>
      <c r="Q49" s="2364" t="str">
        <f ca="1">J60</f>
        <v>0</v>
      </c>
      <c r="R49" s="2363" t="s">
        <v>2378</v>
      </c>
    </row>
    <row r="50" spans="1:18" s="2044" customFormat="1" ht="18" customHeight="1" thickBot="1">
      <c r="A50" s="786"/>
      <c r="B50" s="787"/>
      <c r="C50" s="788"/>
      <c r="D50" s="789"/>
      <c r="E50" s="784" t="s">
        <v>1740</v>
      </c>
      <c r="F50" s="785">
        <f ca="1">F8</f>
        <v>365</v>
      </c>
      <c r="G50" s="2080"/>
      <c r="H50" s="2078"/>
      <c r="I50" s="3075" t="s">
        <v>2343</v>
      </c>
      <c r="J50" s="3100">
        <f>SUMPRODUCT((I63:I65=J47)*(J62:L62=J48)*(J63:L65))</f>
        <v>60</v>
      </c>
      <c r="K50" s="3104" t="s">
        <v>2349</v>
      </c>
      <c r="L50" s="2348"/>
      <c r="O50" s="2365" t="s">
        <v>2379</v>
      </c>
      <c r="P50" s="2363" t="s">
        <v>2403</v>
      </c>
      <c r="Q50" s="2364">
        <f ca="1">C29</f>
        <v>2074</v>
      </c>
      <c r="R50" s="2363" t="s">
        <v>2376</v>
      </c>
    </row>
    <row r="51" spans="1:18" s="2044" customFormat="1" ht="18" customHeight="1" thickBot="1">
      <c r="A51" s="786"/>
      <c r="B51" s="787"/>
      <c r="C51" s="788"/>
      <c r="D51" s="789"/>
      <c r="E51" s="784" t="s">
        <v>640</v>
      </c>
      <c r="F51" s="2335"/>
      <c r="H51" s="2078"/>
      <c r="I51" s="3097" t="s">
        <v>2344</v>
      </c>
      <c r="J51" s="3101">
        <f>IF(J49="",J50,J49+J50-YEAR('数据-取费表'!B2))</f>
        <v>62</v>
      </c>
      <c r="K51" s="3075" t="s">
        <v>2350</v>
      </c>
      <c r="L51" s="3107">
        <f ca="1">ROUND(-PV(INDIRECT("'数据-取费表'!h"&amp;$G$1),L48,(C39-C13*J36),0),0)</f>
        <v>16112</v>
      </c>
      <c r="O51" s="2365" t="s">
        <v>2380</v>
      </c>
      <c r="P51" s="2363" t="s">
        <v>2381</v>
      </c>
      <c r="Q51" s="2366" t="e">
        <f ca="1">J58</f>
        <v>#VALUE!</v>
      </c>
      <c r="R51" s="2367"/>
    </row>
    <row r="52" spans="1:18" s="2044" customFormat="1" ht="18" customHeight="1" thickBot="1">
      <c r="A52" s="781" t="s">
        <v>2532</v>
      </c>
      <c r="B52" s="2458" t="s">
        <v>2455</v>
      </c>
      <c r="C52" s="799">
        <f ca="1">ROUND(IF(F52="押一",C48/12*F11,IF(F52="押二",C48/12*2*F11,IF(F52="押三",C48/12*3*F11,C53*F11))),0)</f>
        <v>0</v>
      </c>
      <c r="D52" s="2465" t="s">
        <v>2957</v>
      </c>
      <c r="E52" s="2462" t="s">
        <v>2460</v>
      </c>
      <c r="F52" s="2585"/>
      <c r="I52" s="3098" t="s">
        <v>2417</v>
      </c>
      <c r="J52" s="2349">
        <v>0.09</v>
      </c>
      <c r="K52" s="3098" t="s">
        <v>2416</v>
      </c>
      <c r="L52" s="2349"/>
      <c r="O52" s="2365" t="s">
        <v>2382</v>
      </c>
      <c r="P52" s="2363" t="s">
        <v>2383</v>
      </c>
      <c r="Q52" s="2366">
        <f>J52</f>
        <v>0.09</v>
      </c>
      <c r="R52" s="2367"/>
    </row>
    <row r="53" spans="1:18" s="2044" customFormat="1" ht="39.75" customHeight="1" thickBot="1">
      <c r="A53" s="786"/>
      <c r="B53" s="2459" t="s">
        <v>2569</v>
      </c>
      <c r="C53" s="2463"/>
      <c r="D53" s="2465"/>
      <c r="E53" s="2462"/>
      <c r="F53" s="800"/>
      <c r="I53" s="3099" t="s">
        <v>2960</v>
      </c>
      <c r="J53" s="3178">
        <f ca="1">IF(M47="住宅",IF(D1="——",MAX(J51,L48),MAX(J51,L48-'数据-取费表'!B20)),IF(D1="——",MIN(J51,L48),MIN(J51,L48-'数据-取费表'!B20)))</f>
        <v>37.1</v>
      </c>
      <c r="K53" s="3519" t="s">
        <v>2948</v>
      </c>
      <c r="L53" s="3520"/>
      <c r="O53" s="2365" t="s">
        <v>2384</v>
      </c>
      <c r="P53" s="2363" t="s">
        <v>2385</v>
      </c>
      <c r="Q53" s="2364">
        <f ca="1">J53</f>
        <v>37.1</v>
      </c>
      <c r="R53" s="2363" t="s">
        <v>2386</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2387</v>
      </c>
      <c r="P54" s="2363" t="s">
        <v>2404</v>
      </c>
      <c r="Q54" s="2364">
        <f ca="1">Q48+Q49</f>
        <v>26115</v>
      </c>
      <c r="R54" s="2367" t="s">
        <v>2388</v>
      </c>
    </row>
    <row r="55" spans="1:18" s="2044" customFormat="1" ht="18" customHeight="1" thickTop="1" thickBot="1">
      <c r="A55" s="797">
        <v>2</v>
      </c>
      <c r="B55" s="798" t="s">
        <v>644</v>
      </c>
      <c r="C55" s="799">
        <f ca="1">C13</f>
        <v>2074</v>
      </c>
      <c r="D55" s="795"/>
      <c r="E55" s="795"/>
      <c r="F55" s="800"/>
      <c r="I55" s="3110" t="s">
        <v>2351</v>
      </c>
      <c r="J55" s="3050" t="e">
        <f ca="1">ROUND(IF(J47="钢混",J57/J50,1-(1-2%)*(J50-J57)/J50),3)</f>
        <v>#VALUE!</v>
      </c>
      <c r="K55" s="3111" t="s">
        <v>2352</v>
      </c>
      <c r="L55" s="2350"/>
      <c r="O55" s="2368" t="s">
        <v>2407</v>
      </c>
      <c r="P55" s="1579"/>
      <c r="Q55" s="1590"/>
      <c r="R55" s="1579"/>
    </row>
    <row r="56" spans="1:18" s="2044" customFormat="1" ht="42.75" customHeight="1" thickBot="1">
      <c r="A56" s="1636"/>
      <c r="B56" s="2216" t="s">
        <v>2298</v>
      </c>
      <c r="C56" s="53">
        <f ca="1">C29</f>
        <v>2074</v>
      </c>
      <c r="D56" s="2603"/>
      <c r="E56" s="784"/>
      <c r="F56" s="809"/>
      <c r="I56" s="3112" t="s">
        <v>2353</v>
      </c>
      <c r="J56" s="3122" t="s">
        <v>1678</v>
      </c>
      <c r="K56" s="3075" t="s">
        <v>2358</v>
      </c>
      <c r="L56" s="1893" t="str">
        <f ca="1">IF(L48&lt;J51,"——",L48-J51)</f>
        <v>——</v>
      </c>
      <c r="O56" s="2359" t="s">
        <v>2371</v>
      </c>
      <c r="P56" s="2360" t="s">
        <v>2372</v>
      </c>
      <c r="Q56" s="2361" t="s">
        <v>2373</v>
      </c>
      <c r="R56" s="2360" t="s">
        <v>2374</v>
      </c>
    </row>
    <row r="57" spans="1:18" s="2044" customFormat="1" ht="28.5" customHeight="1" thickBot="1">
      <c r="A57" s="797" t="s">
        <v>1748</v>
      </c>
      <c r="B57" s="798" t="s">
        <v>651</v>
      </c>
      <c r="C57" s="799">
        <f ca="1">ROUND(C58+C63+C64+C65,0)</f>
        <v>36</v>
      </c>
      <c r="D57" s="26" t="s">
        <v>1750</v>
      </c>
      <c r="E57" s="2604"/>
      <c r="F57" s="56"/>
      <c r="I57" s="3113" t="s">
        <v>2354</v>
      </c>
      <c r="J57" s="3114" t="str">
        <f ca="1">IF(OR(M47="住宅",J51&lt;L48,J56="是"),"——",J51-L48)</f>
        <v>——</v>
      </c>
      <c r="K57" s="3075" t="s">
        <v>2359</v>
      </c>
      <c r="L57" s="1893" t="str">
        <f ca="1">IF(L48&lt;J51,"——",IF(L55="比较法",L49,IF(L55="基准地价",L50,L51)))</f>
        <v>——</v>
      </c>
      <c r="O57" s="2362" t="s">
        <v>2375</v>
      </c>
      <c r="P57" s="2363" t="s">
        <v>2405</v>
      </c>
      <c r="Q57" s="2364">
        <f ca="1">C40+J29</f>
        <v>26115</v>
      </c>
      <c r="R57" s="2363" t="s">
        <v>2376</v>
      </c>
    </row>
    <row r="58" spans="1:18" s="2044" customFormat="1" ht="28.5" customHeight="1" thickBot="1">
      <c r="A58" s="1635" t="s">
        <v>1824</v>
      </c>
      <c r="B58" s="784" t="s">
        <v>656</v>
      </c>
      <c r="C58" s="53">
        <f ca="1">ROUND(IF(项目基本情况!B11="自然人",C47*F58,C59+C60+C61),1)</f>
        <v>1.7</v>
      </c>
      <c r="D58" s="2602" t="s">
        <v>657</v>
      </c>
      <c r="E58" s="2603" t="s">
        <v>690</v>
      </c>
      <c r="F58" s="810" t="str">
        <f ca="1">IF(项目基本情况!B11="企业","",IF(INDIRECT("'数据-取费表'!c"&amp;$G$1)="住宅",5%,IF(F48*F49*F50/12/(1+'数据-取费表'!C42)&gt;20000,12%,7%)))</f>
        <v/>
      </c>
      <c r="I58" s="3113" t="s">
        <v>2355</v>
      </c>
      <c r="J58" s="3051" t="e">
        <f ca="1">IF(J55&lt;0.4,0.4,J55)</f>
        <v>#VALUE!</v>
      </c>
      <c r="K58" s="3075" t="s">
        <v>2360</v>
      </c>
      <c r="L58" s="1893" t="e">
        <f ca="1">ROUND(POWER(1+L52,L47-L48)*(POWER(1+L52,L48)-1)/(POWER(1+L52,L47)-1),4)</f>
        <v>#DIV/0!</v>
      </c>
      <c r="O58" s="2362" t="s">
        <v>2377</v>
      </c>
      <c r="P58" s="2363" t="s">
        <v>2408</v>
      </c>
      <c r="Q58" s="2364">
        <f ca="1">L60</f>
        <v>0</v>
      </c>
      <c r="R58" s="2367" t="s">
        <v>2410</v>
      </c>
    </row>
    <row r="59" spans="1:18" s="2044" customFormat="1" ht="28.5" customHeight="1" thickBot="1">
      <c r="A59" s="1634" t="s">
        <v>1831</v>
      </c>
      <c r="B59" s="784" t="s">
        <v>660</v>
      </c>
      <c r="C59" s="53">
        <f ca="1">ROUND(C47*F59/1.05,1)</f>
        <v>0</v>
      </c>
      <c r="D59" s="2603" t="s">
        <v>1756</v>
      </c>
      <c r="E59" s="784" t="s">
        <v>1747</v>
      </c>
      <c r="F59" s="809">
        <f t="shared" ref="F59:F65" si="0">F32</f>
        <v>5.6000000000000001E-2</v>
      </c>
      <c r="I59" s="3113" t="s">
        <v>2356</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2379</v>
      </c>
      <c r="P59" s="2363" t="s">
        <v>2409</v>
      </c>
      <c r="Q59" s="2364">
        <f>IF(L55="比较法",L49,IF(L55="基准地价",L50,0))</f>
        <v>0</v>
      </c>
      <c r="R59" s="2363" t="s">
        <v>2376</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5" t="s">
        <v>2357</v>
      </c>
      <c r="J60" s="3116" t="str">
        <f ca="1">IF(OR(M47="住宅",J51&lt;L48,J56="是"),"0",ROUND(J59/(1+J52)^J53,0))</f>
        <v>0</v>
      </c>
      <c r="K60" s="3117" t="s">
        <v>2362</v>
      </c>
      <c r="L60" s="3116">
        <f ca="1">IF(OR(M47="住宅",L48&lt;J51),0,ROUND(L57*(L58/L59-1),0))</f>
        <v>0</v>
      </c>
      <c r="O60" s="2365" t="s">
        <v>2380</v>
      </c>
      <c r="P60" s="2363" t="s">
        <v>2389</v>
      </c>
      <c r="Q60" s="2366">
        <f>L52</f>
        <v>0</v>
      </c>
      <c r="R60" s="2367"/>
    </row>
    <row r="61" spans="1:18" s="2044" customFormat="1" ht="18" customHeight="1" thickBot="1">
      <c r="A61" s="1637" t="s">
        <v>1833</v>
      </c>
      <c r="B61" s="341" t="s">
        <v>668</v>
      </c>
      <c r="C61" s="54">
        <f ca="1">ROUND(F61*F62/10000,1)</f>
        <v>1.7</v>
      </c>
      <c r="D61" s="814" t="s">
        <v>669</v>
      </c>
      <c r="E61" s="784" t="s">
        <v>670</v>
      </c>
      <c r="F61" s="640">
        <f t="shared" si="0"/>
        <v>12</v>
      </c>
      <c r="K61" s="2071"/>
      <c r="O61" s="2365" t="s">
        <v>2382</v>
      </c>
      <c r="P61" s="2363" t="s">
        <v>2390</v>
      </c>
      <c r="Q61" s="2364" t="e">
        <f ca="1">L58</f>
        <v>#DIV/0!</v>
      </c>
      <c r="R61" s="2367" t="s">
        <v>2391</v>
      </c>
    </row>
    <row r="62" spans="1:18" s="2044" customFormat="1" ht="15.75" thickBot="1">
      <c r="A62" s="815"/>
      <c r="B62" s="793"/>
      <c r="C62" s="69"/>
      <c r="D62" s="816"/>
      <c r="E62" s="784" t="s">
        <v>674</v>
      </c>
      <c r="F62" s="785">
        <f t="shared" ca="1" si="0"/>
        <v>1427</v>
      </c>
      <c r="I62" s="3118" t="s">
        <v>2363</v>
      </c>
      <c r="J62" s="3119" t="s">
        <v>2364</v>
      </c>
      <c r="K62" s="3119" t="s">
        <v>2365</v>
      </c>
      <c r="L62" s="3119" t="s">
        <v>2346</v>
      </c>
      <c r="M62" s="3120" t="s">
        <v>2925</v>
      </c>
      <c r="O62" s="2365" t="s">
        <v>2384</v>
      </c>
      <c r="P62" s="2363" t="str">
        <f>K59</f>
        <v>建设期及建筑物耐用年限下的土地年期修正系数Kn</v>
      </c>
      <c r="Q62" s="2364" t="e">
        <f ca="1">L59</f>
        <v>#DIV/0!</v>
      </c>
      <c r="R62" s="2367" t="s">
        <v>2393</v>
      </c>
    </row>
    <row r="63" spans="1:18" s="2044" customFormat="1" ht="15.75" thickBot="1">
      <c r="A63" s="1635" t="s">
        <v>1889</v>
      </c>
      <c r="B63" s="784" t="s">
        <v>676</v>
      </c>
      <c r="C63" s="53">
        <f ca="1">ROUND(C56*F63,1)</f>
        <v>31.1</v>
      </c>
      <c r="D63" s="2603" t="s">
        <v>1803</v>
      </c>
      <c r="E63" s="784" t="s">
        <v>1747</v>
      </c>
      <c r="F63" s="817">
        <f t="shared" ca="1" si="0"/>
        <v>1.4999999999999999E-2</v>
      </c>
      <c r="I63" s="3118" t="s">
        <v>2366</v>
      </c>
      <c r="J63" s="3119">
        <v>70</v>
      </c>
      <c r="K63" s="3119">
        <v>50</v>
      </c>
      <c r="L63" s="3119">
        <v>80</v>
      </c>
      <c r="M63" s="3121">
        <v>0.02</v>
      </c>
      <c r="O63" s="2362" t="s">
        <v>2387</v>
      </c>
      <c r="P63" s="2363" t="s">
        <v>2404</v>
      </c>
      <c r="Q63" s="2364">
        <f ca="1">Q57+Q58</f>
        <v>26115</v>
      </c>
      <c r="R63" s="2367" t="s">
        <v>2388</v>
      </c>
    </row>
    <row r="64" spans="1:18" s="2044" customFormat="1" ht="16.5" thickBot="1">
      <c r="A64" s="1635" t="s">
        <v>1890</v>
      </c>
      <c r="B64" s="784" t="s">
        <v>679</v>
      </c>
      <c r="C64" s="53">
        <f ca="1">ROUND(C55*F64,1)</f>
        <v>3.1</v>
      </c>
      <c r="D64" s="2603" t="s">
        <v>680</v>
      </c>
      <c r="E64" s="784" t="s">
        <v>1747</v>
      </c>
      <c r="F64" s="818">
        <f t="shared" ca="1" si="0"/>
        <v>1.5E-3</v>
      </c>
      <c r="I64" s="3118" t="s">
        <v>2367</v>
      </c>
      <c r="J64" s="3119">
        <v>50</v>
      </c>
      <c r="K64" s="3119">
        <v>35</v>
      </c>
      <c r="L64" s="3119">
        <v>60</v>
      </c>
      <c r="M64" s="846">
        <v>0</v>
      </c>
      <c r="O64" s="2368" t="s">
        <v>2411</v>
      </c>
      <c r="P64" s="1579"/>
      <c r="Q64" s="1590"/>
      <c r="R64" s="1579"/>
    </row>
    <row r="65" spans="1:18" s="2044" customFormat="1" ht="15.75" thickBot="1">
      <c r="A65" s="1635" t="s">
        <v>1891</v>
      </c>
      <c r="B65" s="784" t="s">
        <v>666</v>
      </c>
      <c r="C65" s="53">
        <f ca="1">ROUND(C47*F65,1)</f>
        <v>0</v>
      </c>
      <c r="D65" s="2603" t="s">
        <v>683</v>
      </c>
      <c r="E65" s="784" t="s">
        <v>1747</v>
      </c>
      <c r="F65" s="794">
        <f t="shared" ca="1" si="0"/>
        <v>0.02</v>
      </c>
      <c r="I65" s="3118" t="s">
        <v>2368</v>
      </c>
      <c r="J65" s="3119">
        <v>40</v>
      </c>
      <c r="K65" s="3119">
        <v>30</v>
      </c>
      <c r="L65" s="3119">
        <v>50</v>
      </c>
      <c r="M65" s="3121">
        <v>0.02</v>
      </c>
      <c r="O65" s="2359" t="s">
        <v>2371</v>
      </c>
      <c r="P65" s="2360" t="s">
        <v>2372</v>
      </c>
      <c r="Q65" s="2361" t="s">
        <v>2373</v>
      </c>
      <c r="R65" s="2360" t="s">
        <v>2374</v>
      </c>
    </row>
    <row r="66" spans="1:18" s="2044" customFormat="1" ht="24.75" thickBot="1">
      <c r="A66" s="797" t="s">
        <v>1776</v>
      </c>
      <c r="B66" s="2963" t="s">
        <v>2816</v>
      </c>
      <c r="C66" s="799">
        <f ca="1">C47-C57</f>
        <v>-36</v>
      </c>
      <c r="D66" s="2602" t="s">
        <v>700</v>
      </c>
      <c r="E66" s="2601"/>
      <c r="F66" s="820"/>
      <c r="K66" s="2071"/>
      <c r="O66" s="2362" t="s">
        <v>2375</v>
      </c>
      <c r="P66" s="2363" t="s">
        <v>2405</v>
      </c>
      <c r="Q66" s="2364">
        <f ca="1">C40+J29</f>
        <v>26115</v>
      </c>
      <c r="R66" s="2363" t="s">
        <v>2376</v>
      </c>
    </row>
    <row r="67" spans="1:18" s="2044" customFormat="1" ht="20.25" thickBot="1">
      <c r="A67" s="781" t="s">
        <v>1780</v>
      </c>
      <c r="B67" s="2217" t="s">
        <v>2297</v>
      </c>
      <c r="C67" s="783">
        <f ca="1">ROUND(C66*(1-((1+F69)/(1+F67))^F68)/(F67-F69),0)</f>
        <v>-565</v>
      </c>
      <c r="D67" s="814" t="s">
        <v>704</v>
      </c>
      <c r="E67" s="784" t="s">
        <v>705</v>
      </c>
      <c r="F67" s="794">
        <f ca="1">F40</f>
        <v>5.5E-2</v>
      </c>
      <c r="K67" s="2071"/>
      <c r="O67" s="2362" t="s">
        <v>2377</v>
      </c>
      <c r="P67" s="2363" t="s">
        <v>2408</v>
      </c>
      <c r="Q67" s="2364">
        <f ca="1">L60</f>
        <v>0</v>
      </c>
      <c r="R67" s="2367" t="s">
        <v>2410</v>
      </c>
    </row>
    <row r="68" spans="1:18" ht="21.75" thickBot="1">
      <c r="A68" s="786"/>
      <c r="B68" s="787"/>
      <c r="C68" s="788"/>
      <c r="D68" s="821" t="s">
        <v>1808</v>
      </c>
      <c r="E68" s="784" t="s">
        <v>1784</v>
      </c>
      <c r="F68" s="822">
        <f ca="1">F41</f>
        <v>37.1</v>
      </c>
      <c r="O68" s="2365" t="s">
        <v>2379</v>
      </c>
      <c r="P68" s="2363" t="s">
        <v>2409</v>
      </c>
      <c r="Q68" s="2369">
        <f ca="1">L51</f>
        <v>16112</v>
      </c>
      <c r="R68" s="2370" t="s">
        <v>2412</v>
      </c>
    </row>
    <row r="69" spans="1:18" ht="20.25" thickBot="1">
      <c r="A69" s="790"/>
      <c r="B69" s="791"/>
      <c r="C69" s="792"/>
      <c r="D69" s="816"/>
      <c r="E69" s="784" t="s">
        <v>710</v>
      </c>
      <c r="F69" s="2335"/>
      <c r="O69" s="2365" t="s">
        <v>2380</v>
      </c>
      <c r="P69" s="2371" t="s">
        <v>2394</v>
      </c>
      <c r="Q69" s="2364">
        <f ca="1">ROUND(Q70-Q71*Q72,0)</f>
        <v>942</v>
      </c>
      <c r="R69" s="2367"/>
    </row>
    <row r="70" spans="1:18" ht="15.75" thickBot="1">
      <c r="A70" s="823" t="s">
        <v>1787</v>
      </c>
      <c r="B70" s="824" t="s">
        <v>1810</v>
      </c>
      <c r="C70" s="825">
        <f ca="1">ROUND(C67*10000/F70,0)</f>
        <v>-1320</v>
      </c>
      <c r="D70" s="826" t="s">
        <v>1811</v>
      </c>
      <c r="E70" s="827" t="s">
        <v>1812</v>
      </c>
      <c r="F70" s="828">
        <f ca="1">F43</f>
        <v>4281</v>
      </c>
      <c r="O70" s="2365" t="s">
        <v>2395</v>
      </c>
      <c r="P70" s="2371" t="s">
        <v>2396</v>
      </c>
      <c r="Q70" s="2364">
        <f ca="1">C39</f>
        <v>1108</v>
      </c>
      <c r="R70" s="2363" t="s">
        <v>2376</v>
      </c>
    </row>
    <row r="71" spans="1:18" ht="15.75" thickBot="1">
      <c r="O71" s="2365" t="s">
        <v>2397</v>
      </c>
      <c r="P71" s="2371" t="s">
        <v>2398</v>
      </c>
      <c r="Q71" s="2364">
        <f ca="1">C13</f>
        <v>2074</v>
      </c>
      <c r="R71" s="2363" t="s">
        <v>2376</v>
      </c>
    </row>
    <row r="72" spans="1:18" ht="15.75" thickBot="1">
      <c r="O72" s="2365" t="s">
        <v>2399</v>
      </c>
      <c r="P72" s="2371" t="s">
        <v>2400</v>
      </c>
      <c r="Q72" s="2366">
        <f ca="1">J36</f>
        <v>0.08</v>
      </c>
      <c r="R72" s="2367"/>
    </row>
    <row r="73" spans="1:18" ht="15.75" thickBot="1">
      <c r="O73" s="2365" t="s">
        <v>2382</v>
      </c>
      <c r="P73" s="2363" t="s">
        <v>2389</v>
      </c>
      <c r="Q73" s="2366">
        <f>L52</f>
        <v>0</v>
      </c>
      <c r="R73" s="2367"/>
    </row>
    <row r="74" spans="1:18" ht="20.25" thickBot="1">
      <c r="O74" s="2365" t="s">
        <v>2384</v>
      </c>
      <c r="P74" s="2363" t="s">
        <v>2390</v>
      </c>
      <c r="Q74" s="2364" t="e">
        <f ca="1">L58</f>
        <v>#DIV/0!</v>
      </c>
      <c r="R74" s="2367" t="s">
        <v>2391</v>
      </c>
    </row>
    <row r="75" spans="1:18" ht="15.75" thickBot="1">
      <c r="O75" s="2365" t="s">
        <v>2413</v>
      </c>
      <c r="P75" s="2363" t="str">
        <f>K59</f>
        <v>建设期及建筑物耐用年限下的土地年期修正系数Kn</v>
      </c>
      <c r="Q75" s="2364" t="e">
        <f ca="1">L59</f>
        <v>#DIV/0!</v>
      </c>
      <c r="R75" s="2367" t="s">
        <v>2393</v>
      </c>
    </row>
    <row r="76" spans="1:18" ht="15.75" thickBot="1">
      <c r="O76" s="2362" t="s">
        <v>2387</v>
      </c>
      <c r="P76" s="2363" t="s">
        <v>2404</v>
      </c>
      <c r="Q76" s="2364">
        <f ca="1">Q66+Q67</f>
        <v>26115</v>
      </c>
      <c r="R76" s="2367"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workbookViewId="0">
      <selection activeCell="J6" sqref="J6"/>
    </sheetView>
  </sheetViews>
  <sheetFormatPr defaultRowHeight="13.5"/>
  <cols>
    <col min="6" max="6" width="10.75" customWidth="1"/>
    <col min="8" max="8" width="14.625" bestFit="1" customWidth="1"/>
    <col min="10" max="10" width="49" customWidth="1"/>
  </cols>
  <sheetData>
    <row r="1" spans="1:14">
      <c r="A1" s="3179" t="s">
        <v>3203</v>
      </c>
    </row>
    <row r="2" spans="1:14">
      <c r="A2" s="3522" t="s">
        <v>3202</v>
      </c>
      <c r="B2" s="3523"/>
      <c r="C2" s="3523"/>
      <c r="D2" s="3523"/>
      <c r="E2" s="3523"/>
      <c r="F2" s="3523"/>
      <c r="G2" s="3179" t="s">
        <v>3204</v>
      </c>
    </row>
    <row r="3" spans="1:14" ht="26.25" customHeight="1">
      <c r="A3" s="3219" t="s">
        <v>3188</v>
      </c>
      <c r="B3" s="3219" t="s">
        <v>3201</v>
      </c>
      <c r="C3" s="3219" t="s">
        <v>3189</v>
      </c>
      <c r="D3" s="3219" t="s">
        <v>3190</v>
      </c>
      <c r="E3" s="3219" t="s">
        <v>3191</v>
      </c>
      <c r="F3" s="3219" t="s">
        <v>3192</v>
      </c>
      <c r="G3" s="3219" t="s">
        <v>3206</v>
      </c>
      <c r="H3" s="3219" t="s">
        <v>3207</v>
      </c>
      <c r="I3" s="3219" t="s">
        <v>3210</v>
      </c>
      <c r="L3" s="3219" t="s">
        <v>3213</v>
      </c>
      <c r="M3" s="3179" t="s">
        <v>3212</v>
      </c>
    </row>
    <row r="4" spans="1:14" s="3222" customFormat="1" ht="33">
      <c r="A4" s="3521" t="s">
        <v>3193</v>
      </c>
      <c r="B4" s="3221" t="s">
        <v>3194</v>
      </c>
      <c r="C4" s="3221" t="s">
        <v>3211</v>
      </c>
      <c r="D4" s="3221" t="s">
        <v>3195</v>
      </c>
      <c r="E4" s="3221">
        <v>6.82</v>
      </c>
      <c r="F4" s="3221">
        <v>10.1</v>
      </c>
      <c r="G4" s="3223" t="s">
        <v>3211</v>
      </c>
      <c r="H4" s="3224">
        <v>43617</v>
      </c>
      <c r="I4" s="3222">
        <v>113000</v>
      </c>
      <c r="J4" s="3223" t="s">
        <v>3240</v>
      </c>
      <c r="K4" s="3223" t="s">
        <v>3215</v>
      </c>
      <c r="L4" s="3223">
        <v>1.52</v>
      </c>
      <c r="M4" s="3222">
        <v>67657.33</v>
      </c>
      <c r="N4" s="3223" t="s">
        <v>3221</v>
      </c>
    </row>
    <row r="5" spans="1:14" s="3222" customFormat="1" ht="40.5">
      <c r="A5" s="3521"/>
      <c r="B5" s="3221" t="s">
        <v>3196</v>
      </c>
      <c r="C5" s="3221" t="s">
        <v>3226</v>
      </c>
      <c r="D5" s="3221" t="s">
        <v>3195</v>
      </c>
      <c r="E5" s="3221">
        <v>4.3</v>
      </c>
      <c r="F5" s="3221">
        <v>8.6999999999999993</v>
      </c>
      <c r="G5" s="3223" t="s">
        <v>3222</v>
      </c>
      <c r="H5" s="3224">
        <v>43805</v>
      </c>
      <c r="I5" s="3223" t="s">
        <v>3225</v>
      </c>
      <c r="J5" s="3223" t="s">
        <v>3242</v>
      </c>
      <c r="K5" s="3226" t="s">
        <v>3224</v>
      </c>
      <c r="L5" s="3222">
        <v>2.8</v>
      </c>
      <c r="M5" s="3222">
        <v>128423</v>
      </c>
      <c r="N5" s="3223" t="s">
        <v>3223</v>
      </c>
    </row>
    <row r="6" spans="1:14" s="3222" customFormat="1" ht="33">
      <c r="A6" s="3521"/>
      <c r="B6" s="3221" t="s">
        <v>3197</v>
      </c>
      <c r="C6" s="3221" t="s">
        <v>3219</v>
      </c>
      <c r="D6" s="3221" t="s">
        <v>3195</v>
      </c>
      <c r="E6" s="3221">
        <v>6.49</v>
      </c>
      <c r="F6" s="3221">
        <v>11</v>
      </c>
      <c r="G6" s="3223" t="s">
        <v>3220</v>
      </c>
      <c r="H6" s="3224">
        <v>43394</v>
      </c>
      <c r="I6" s="3222">
        <v>110000</v>
      </c>
      <c r="J6" s="3223" t="s">
        <v>3243</v>
      </c>
      <c r="K6" s="3223" t="s">
        <v>3218</v>
      </c>
      <c r="L6" s="3222">
        <v>2</v>
      </c>
      <c r="M6" s="3222">
        <v>64000</v>
      </c>
      <c r="N6" s="3222">
        <v>11</v>
      </c>
    </row>
    <row r="7" spans="1:14" ht="33">
      <c r="A7" s="3521"/>
      <c r="B7" s="3220" t="s">
        <v>3198</v>
      </c>
      <c r="C7" s="3220" t="s">
        <v>3199</v>
      </c>
      <c r="D7" s="3220" t="s">
        <v>3195</v>
      </c>
      <c r="E7" s="3220">
        <v>20.350000000000001</v>
      </c>
      <c r="F7" s="3220">
        <v>2.2999999999999998</v>
      </c>
    </row>
    <row r="8" spans="1:14" ht="33">
      <c r="A8" s="3521"/>
      <c r="B8" s="3220" t="s">
        <v>3200</v>
      </c>
      <c r="C8" s="3220" t="s">
        <v>3185</v>
      </c>
      <c r="D8" s="3220" t="s">
        <v>3195</v>
      </c>
      <c r="E8" s="3220">
        <v>6.51</v>
      </c>
      <c r="F8" s="3220">
        <v>0.2</v>
      </c>
      <c r="G8" s="3227" t="s">
        <v>3227</v>
      </c>
      <c r="I8">
        <v>100000</v>
      </c>
      <c r="J8" s="3179" t="s">
        <v>3241</v>
      </c>
      <c r="N8">
        <v>11.8</v>
      </c>
    </row>
    <row r="9" spans="1:14">
      <c r="G9" s="3179" t="s">
        <v>3205</v>
      </c>
      <c r="H9" s="3180">
        <v>43705</v>
      </c>
      <c r="I9" s="3179" t="s">
        <v>3209</v>
      </c>
      <c r="K9" s="3179" t="s">
        <v>3208</v>
      </c>
    </row>
    <row r="10" spans="1:14" ht="16.5">
      <c r="G10" s="3179" t="s">
        <v>3216</v>
      </c>
      <c r="H10" s="3180">
        <v>43641</v>
      </c>
      <c r="I10">
        <v>80000</v>
      </c>
      <c r="K10" s="3179" t="s">
        <v>3218</v>
      </c>
      <c r="L10" s="3225">
        <v>2.2000000000000002</v>
      </c>
      <c r="M10">
        <v>232965</v>
      </c>
      <c r="N10" s="3179" t="s">
        <v>3217</v>
      </c>
    </row>
  </sheetData>
  <mergeCells count="2">
    <mergeCell ref="A4:A8"/>
    <mergeCell ref="A2:F2"/>
  </mergeCells>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K17" sqref="K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415" t="s">
        <v>522</v>
      </c>
      <c r="D4" s="3416"/>
      <c r="E4" s="3440" t="s">
        <v>523</v>
      </c>
      <c r="F4" s="3441"/>
      <c r="G4" s="3415" t="s">
        <v>524</v>
      </c>
      <c r="H4" s="3416"/>
      <c r="I4" s="3415" t="s">
        <v>525</v>
      </c>
      <c r="J4" s="3416"/>
      <c r="K4" s="514" t="s">
        <v>526</v>
      </c>
      <c r="L4" s="2118"/>
      <c r="M4" s="2119"/>
      <c r="N4" s="2119"/>
      <c r="O4" s="2119"/>
      <c r="P4" s="3417" t="s">
        <v>527</v>
      </c>
      <c r="Q4" s="3418"/>
      <c r="R4" s="3403" t="s">
        <v>523</v>
      </c>
      <c r="S4" s="3404"/>
      <c r="T4" s="3403" t="s">
        <v>524</v>
      </c>
      <c r="U4" s="3404"/>
      <c r="V4" s="3423" t="s">
        <v>525</v>
      </c>
      <c r="W4" s="3423"/>
      <c r="X4" s="1554"/>
      <c r="Y4" s="3403" t="s">
        <v>527</v>
      </c>
      <c r="Z4" s="3404"/>
      <c r="AA4" s="3398" t="s">
        <v>523</v>
      </c>
      <c r="AB4" s="3423" t="s">
        <v>524</v>
      </c>
      <c r="AC4" s="3398" t="s">
        <v>525</v>
      </c>
    </row>
    <row r="5" spans="1:29" ht="15">
      <c r="A5" s="515"/>
      <c r="B5" s="516"/>
      <c r="C5" s="3444" t="s">
        <v>2912</v>
      </c>
      <c r="D5" s="3445"/>
      <c r="E5" s="3442" t="s">
        <v>2913</v>
      </c>
      <c r="F5" s="3443"/>
      <c r="G5" s="3444" t="s">
        <v>2914</v>
      </c>
      <c r="H5" s="3445"/>
      <c r="I5" s="3444" t="s">
        <v>2915</v>
      </c>
      <c r="J5" s="3445"/>
      <c r="K5" s="514"/>
      <c r="L5" s="2118"/>
      <c r="M5" s="2119"/>
      <c r="N5" s="2119"/>
      <c r="O5" s="2119"/>
      <c r="P5" s="3419"/>
      <c r="Q5" s="3420"/>
      <c r="R5" s="3405"/>
      <c r="S5" s="3406"/>
      <c r="T5" s="3405"/>
      <c r="U5" s="3406"/>
      <c r="V5" s="3423"/>
      <c r="W5" s="3423"/>
      <c r="X5" s="1554"/>
      <c r="Y5" s="3405"/>
      <c r="Z5" s="3406"/>
      <c r="AA5" s="3399"/>
      <c r="AB5" s="3423"/>
      <c r="AC5" s="3399"/>
    </row>
    <row r="6" spans="1:29" ht="15.75" thickBot="1">
      <c r="A6" s="517"/>
      <c r="B6" s="518"/>
      <c r="C6" s="3446" t="s">
        <v>2916</v>
      </c>
      <c r="D6" s="3447"/>
      <c r="E6" s="3448" t="s">
        <v>2916</v>
      </c>
      <c r="F6" s="3449"/>
      <c r="G6" s="3446" t="s">
        <v>2916</v>
      </c>
      <c r="H6" s="3447"/>
      <c r="I6" s="3446" t="s">
        <v>2916</v>
      </c>
      <c r="J6" s="3447"/>
      <c r="K6" s="514" t="s">
        <v>528</v>
      </c>
      <c r="L6" s="2118"/>
      <c r="M6" s="2119"/>
      <c r="N6" s="2119"/>
      <c r="O6" s="2119"/>
      <c r="P6" s="3421"/>
      <c r="Q6" s="3422"/>
      <c r="R6" s="3405"/>
      <c r="S6" s="3406"/>
      <c r="T6" s="3407"/>
      <c r="U6" s="3408"/>
      <c r="V6" s="3423"/>
      <c r="W6" s="3423"/>
      <c r="X6" s="1554"/>
      <c r="Y6" s="3407"/>
      <c r="Z6" s="3408"/>
      <c r="AA6" s="3400"/>
      <c r="AB6" s="3423"/>
      <c r="AC6" s="3400"/>
    </row>
    <row r="7" spans="1:29" s="1216" customFormat="1" ht="15.75" thickBot="1">
      <c r="A7" s="2867"/>
      <c r="B7" s="2874" t="s">
        <v>529</v>
      </c>
      <c r="C7" s="519">
        <f>'数据-取费表'!B2</f>
        <v>43910</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1" t="s">
        <v>530</v>
      </c>
      <c r="Q7" s="3410"/>
      <c r="R7" s="1555" t="s">
        <v>8</v>
      </c>
      <c r="S7" s="1556">
        <f t="shared" ref="S7:S15" si="0">F7</f>
        <v>0</v>
      </c>
      <c r="T7" s="1555" t="s">
        <v>8</v>
      </c>
      <c r="U7" s="1556">
        <f t="shared" ref="U7:U15" si="1">H7</f>
        <v>0</v>
      </c>
      <c r="V7" s="1555" t="s">
        <v>8</v>
      </c>
      <c r="W7" s="1556">
        <f t="shared" ref="W7:W15" si="2">J7</f>
        <v>0</v>
      </c>
      <c r="X7" s="1557"/>
      <c r="Y7" s="3401" t="s">
        <v>530</v>
      </c>
      <c r="Z7" s="3402"/>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1" t="s">
        <v>533</v>
      </c>
      <c r="Q8" s="3402"/>
      <c r="R8" s="1555" t="s">
        <v>8</v>
      </c>
      <c r="S8" s="1556">
        <f t="shared" si="0"/>
        <v>0</v>
      </c>
      <c r="T8" s="1555" t="s">
        <v>8</v>
      </c>
      <c r="U8" s="1556">
        <f t="shared" si="1"/>
        <v>0</v>
      </c>
      <c r="V8" s="1555" t="s">
        <v>8</v>
      </c>
      <c r="W8" s="1556">
        <f t="shared" si="2"/>
        <v>0</v>
      </c>
      <c r="X8" s="1557"/>
      <c r="Y8" s="3401" t="s">
        <v>533</v>
      </c>
      <c r="Z8" s="3402"/>
      <c r="AA8" s="1558" t="e">
        <f t="shared" ref="AA8:AA46" si="3">D8/F8</f>
        <v>#DIV/0!</v>
      </c>
      <c r="AB8" s="1558" t="e">
        <f t="shared" ref="AB8:AB46" si="4">D8/H8</f>
        <v>#DIV/0!</v>
      </c>
      <c r="AC8" s="1558" t="e">
        <f t="shared" ref="AC8:AC46" si="5">D8/J8</f>
        <v>#DIV/0!</v>
      </c>
    </row>
    <row r="9" spans="1:29" s="1216" customFormat="1" ht="15">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09" t="s">
        <v>535</v>
      </c>
      <c r="Q9" s="1147" t="str">
        <f t="shared" ref="Q9:Q15" si="6">B9</f>
        <v>用途</v>
      </c>
      <c r="R9" s="1555" t="s">
        <v>8</v>
      </c>
      <c r="S9" s="1556">
        <f t="shared" si="0"/>
        <v>100</v>
      </c>
      <c r="T9" s="1555" t="s">
        <v>8</v>
      </c>
      <c r="U9" s="1556">
        <f t="shared" si="1"/>
        <v>100</v>
      </c>
      <c r="V9" s="1555" t="s">
        <v>8</v>
      </c>
      <c r="W9" s="1556">
        <f t="shared" si="2"/>
        <v>100</v>
      </c>
      <c r="X9" s="1557"/>
      <c r="Y9" s="3366" t="s">
        <v>536</v>
      </c>
      <c r="Z9" s="1146" t="str">
        <f t="shared" ref="Z9:Z15" si="7">Q9</f>
        <v>用途</v>
      </c>
      <c r="AA9" s="1558">
        <f t="shared" si="3"/>
        <v>1</v>
      </c>
      <c r="AB9" s="1558">
        <f t="shared" si="4"/>
        <v>1</v>
      </c>
      <c r="AC9" s="1558">
        <f t="shared" si="5"/>
        <v>1</v>
      </c>
    </row>
    <row r="10" spans="1:29" s="1334" customFormat="1" ht="27">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09"/>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09"/>
      <c r="Q11" s="1147" t="str">
        <f t="shared" si="6"/>
        <v>容积率</v>
      </c>
      <c r="R11" s="1555" t="s">
        <v>8</v>
      </c>
      <c r="S11" s="1556" t="e">
        <f t="shared" si="0"/>
        <v>#N/A</v>
      </c>
      <c r="T11" s="1555" t="s">
        <v>8</v>
      </c>
      <c r="U11" s="1556" t="e">
        <f t="shared" si="1"/>
        <v>#N/A</v>
      </c>
      <c r="V11" s="1555" t="s">
        <v>8</v>
      </c>
      <c r="W11" s="1556" t="e">
        <f t="shared" si="2"/>
        <v>#N/A</v>
      </c>
      <c r="X11" s="1557"/>
      <c r="Y11" s="336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09"/>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09"/>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09"/>
      <c r="Q14" s="1147">
        <f t="shared" si="6"/>
        <v>111</v>
      </c>
      <c r="R14" s="1555" t="s">
        <v>8</v>
      </c>
      <c r="S14" s="1556">
        <f t="shared" si="0"/>
        <v>100</v>
      </c>
      <c r="T14" s="1555" t="s">
        <v>8</v>
      </c>
      <c r="U14" s="1556">
        <f t="shared" si="1"/>
        <v>100</v>
      </c>
      <c r="V14" s="1555" t="s">
        <v>8</v>
      </c>
      <c r="W14" s="1556">
        <f t="shared" si="2"/>
        <v>100</v>
      </c>
      <c r="X14" s="1557"/>
      <c r="Y14" s="3366"/>
      <c r="Z14" s="1146">
        <f t="shared" si="7"/>
        <v>111</v>
      </c>
      <c r="AA14" s="1558">
        <f t="shared" si="3"/>
        <v>1</v>
      </c>
      <c r="AB14" s="1558">
        <f t="shared" si="4"/>
        <v>1</v>
      </c>
      <c r="AC14" s="1558">
        <f t="shared" si="5"/>
        <v>1</v>
      </c>
    </row>
    <row r="15" spans="1:29" ht="15">
      <c r="A15" s="2865" t="s">
        <v>2748</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11" t="s">
        <v>540</v>
      </c>
      <c r="Q15" s="1559" t="str">
        <f t="shared" si="6"/>
        <v>商业繁华度</v>
      </c>
      <c r="R15" s="1560" t="s">
        <v>8</v>
      </c>
      <c r="S15" s="1561">
        <f t="shared" si="0"/>
        <v>100</v>
      </c>
      <c r="T15" s="1560" t="s">
        <v>8</v>
      </c>
      <c r="U15" s="1561">
        <f t="shared" si="1"/>
        <v>100</v>
      </c>
      <c r="V15" s="1560" t="s">
        <v>8</v>
      </c>
      <c r="W15" s="1561">
        <f t="shared" si="2"/>
        <v>100</v>
      </c>
      <c r="X15" s="1554"/>
      <c r="Y15" s="3411"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2"/>
      <c r="Q16" s="1559"/>
      <c r="R16" s="1560"/>
      <c r="S16" s="1561"/>
      <c r="T16" s="1560"/>
      <c r="U16" s="1561"/>
      <c r="V16" s="1560"/>
      <c r="W16" s="1561"/>
      <c r="X16" s="1554"/>
      <c r="Y16" s="3412"/>
      <c r="Z16" s="1562"/>
      <c r="AA16" s="1563">
        <v>1</v>
      </c>
      <c r="AB16" s="1563">
        <v>1</v>
      </c>
      <c r="AC16" s="1563">
        <v>1</v>
      </c>
    </row>
    <row r="17" spans="1:29" ht="15">
      <c r="A17" s="532"/>
      <c r="B17" s="871" t="s">
        <v>296</v>
      </c>
      <c r="C17" s="872" t="str">
        <f>估价对象房地状况!C6</f>
        <v>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12"/>
      <c r="Q17" s="1559" t="str">
        <f>B17</f>
        <v>交通便捷度</v>
      </c>
      <c r="R17" s="1560" t="s">
        <v>8</v>
      </c>
      <c r="S17" s="1561">
        <f>F17</f>
        <v>100</v>
      </c>
      <c r="T17" s="1560" t="s">
        <v>8</v>
      </c>
      <c r="U17" s="1561">
        <f>H17</f>
        <v>100</v>
      </c>
      <c r="V17" s="1560" t="s">
        <v>8</v>
      </c>
      <c r="W17" s="1561">
        <f>J17</f>
        <v>100</v>
      </c>
      <c r="X17" s="1554"/>
      <c r="Y17" s="341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2"/>
      <c r="Q18" s="1559"/>
      <c r="R18" s="1560"/>
      <c r="S18" s="1561"/>
      <c r="T18" s="1560"/>
      <c r="U18" s="1561"/>
      <c r="V18" s="1560"/>
      <c r="W18" s="1561"/>
      <c r="X18" s="1554"/>
      <c r="Y18" s="3412"/>
      <c r="Z18" s="1562"/>
      <c r="AA18" s="1563">
        <v>1</v>
      </c>
      <c r="AB18" s="1563">
        <v>1</v>
      </c>
      <c r="AC18" s="1563">
        <v>1</v>
      </c>
    </row>
    <row r="19" spans="1:29" ht="15">
      <c r="A19" s="532"/>
      <c r="B19" s="2564" t="s">
        <v>2542</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12"/>
      <c r="Q19" s="1559" t="str">
        <f>B19</f>
        <v>公共配套设施</v>
      </c>
      <c r="R19" s="1560" t="s">
        <v>8</v>
      </c>
      <c r="S19" s="1561">
        <f>F19</f>
        <v>100</v>
      </c>
      <c r="T19" s="1560" t="s">
        <v>8</v>
      </c>
      <c r="U19" s="1561">
        <f>H19</f>
        <v>100</v>
      </c>
      <c r="V19" s="1560" t="s">
        <v>8</v>
      </c>
      <c r="W19" s="1561">
        <f>J19</f>
        <v>100</v>
      </c>
      <c r="X19" s="1554"/>
      <c r="Y19" s="341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12"/>
      <c r="Q20" s="1559"/>
      <c r="R20" s="1560"/>
      <c r="S20" s="1561"/>
      <c r="T20" s="1560"/>
      <c r="U20" s="1561"/>
      <c r="V20" s="1560"/>
      <c r="W20" s="1561"/>
      <c r="X20" s="1554"/>
      <c r="Y20" s="3412"/>
      <c r="Z20" s="1562"/>
      <c r="AA20" s="1563">
        <v>1</v>
      </c>
      <c r="AB20" s="1563">
        <v>1</v>
      </c>
      <c r="AC20" s="1563">
        <v>1</v>
      </c>
    </row>
    <row r="21" spans="1:29" ht="15">
      <c r="A21" s="532"/>
      <c r="B21" s="2557" t="s">
        <v>2554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12"/>
      <c r="Q21" s="2543" t="str">
        <f>B21</f>
        <v>基础设施水平</v>
      </c>
      <c r="R21" s="1560" t="s">
        <v>8</v>
      </c>
      <c r="S21" s="1561">
        <f>F21</f>
        <v>100</v>
      </c>
      <c r="T21" s="1560" t="s">
        <v>8</v>
      </c>
      <c r="U21" s="1561">
        <f>H21</f>
        <v>100</v>
      </c>
      <c r="V21" s="1560" t="s">
        <v>8</v>
      </c>
      <c r="W21" s="1561">
        <f>J21</f>
        <v>100</v>
      </c>
      <c r="X21" s="2545"/>
      <c r="Y21" s="3412"/>
      <c r="Z21" s="2544" t="str">
        <f>Q21</f>
        <v>基础设施水平</v>
      </c>
      <c r="AA21" s="1563">
        <f>D21/F21</f>
        <v>1</v>
      </c>
      <c r="AB21" s="1563">
        <f>D21/H21</f>
        <v>1</v>
      </c>
      <c r="AC21" s="1563">
        <f>D21/J21</f>
        <v>1</v>
      </c>
    </row>
    <row r="22" spans="1:29" ht="15">
      <c r="A22" s="532"/>
      <c r="B22" s="922"/>
      <c r="C22" s="873"/>
      <c r="D22" s="555"/>
      <c r="E22" s="576"/>
      <c r="F22" s="557"/>
      <c r="G22" s="576"/>
      <c r="H22" s="555"/>
      <c r="I22" s="576"/>
      <c r="J22" s="555"/>
      <c r="K22" s="2566"/>
      <c r="L22" s="2127"/>
      <c r="M22" s="2119"/>
      <c r="N22" s="2119"/>
      <c r="O22" s="2126"/>
      <c r="P22" s="3412"/>
      <c r="Q22" s="2543"/>
      <c r="R22" s="1560"/>
      <c r="S22" s="1561"/>
      <c r="T22" s="1560"/>
      <c r="U22" s="1561"/>
      <c r="V22" s="1560"/>
      <c r="W22" s="1561"/>
      <c r="X22" s="2545"/>
      <c r="Y22" s="3412"/>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12"/>
      <c r="Q23" s="1559" t="str">
        <f>B23</f>
        <v>自然及人文环境</v>
      </c>
      <c r="R23" s="1560" t="s">
        <v>8</v>
      </c>
      <c r="S23" s="1561">
        <f>F23</f>
        <v>100</v>
      </c>
      <c r="T23" s="1560" t="s">
        <v>8</v>
      </c>
      <c r="U23" s="1561">
        <f>H23</f>
        <v>100</v>
      </c>
      <c r="V23" s="1560" t="s">
        <v>8</v>
      </c>
      <c r="W23" s="1561">
        <f>J23</f>
        <v>100</v>
      </c>
      <c r="X23" s="1554"/>
      <c r="Y23" s="341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12"/>
      <c r="Q24" s="1559"/>
      <c r="R24" s="1560"/>
      <c r="S24" s="1561"/>
      <c r="T24" s="1560"/>
      <c r="U24" s="1561"/>
      <c r="V24" s="1560"/>
      <c r="W24" s="1561"/>
      <c r="X24" s="1554"/>
      <c r="Y24" s="3412"/>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12"/>
      <c r="Q25" s="1559" t="str">
        <f t="shared" ref="Q25:Q46" si="8">B25</f>
        <v>临街状况</v>
      </c>
      <c r="R25" s="1560" t="s">
        <v>8</v>
      </c>
      <c r="S25" s="1561">
        <f>F25</f>
        <v>100</v>
      </c>
      <c r="T25" s="1560" t="s">
        <v>8</v>
      </c>
      <c r="U25" s="1561">
        <f>H25</f>
        <v>100</v>
      </c>
      <c r="V25" s="1560" t="s">
        <v>8</v>
      </c>
      <c r="W25" s="1561">
        <f>J25</f>
        <v>100</v>
      </c>
      <c r="X25" s="1554"/>
      <c r="Y25" s="3412"/>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12"/>
      <c r="Q26" s="1559" t="str">
        <f t="shared" si="8"/>
        <v>平面位置/可视性</v>
      </c>
      <c r="R26" s="1560" t="s">
        <v>8</v>
      </c>
      <c r="S26" s="1561">
        <f>F26</f>
        <v>100</v>
      </c>
      <c r="T26" s="1560" t="s">
        <v>8</v>
      </c>
      <c r="U26" s="1561">
        <f>H26</f>
        <v>100</v>
      </c>
      <c r="V26" s="1560" t="s">
        <v>8</v>
      </c>
      <c r="W26" s="1561">
        <f>J26</f>
        <v>100</v>
      </c>
      <c r="X26" s="1554"/>
      <c r="Y26" s="3412"/>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12"/>
      <c r="Q27" s="1147" t="str">
        <f t="shared" si="8"/>
        <v>人流量</v>
      </c>
      <c r="R27" s="1555" t="s">
        <v>8</v>
      </c>
      <c r="S27" s="1556">
        <f>F27</f>
        <v>100</v>
      </c>
      <c r="T27" s="1555" t="s">
        <v>8</v>
      </c>
      <c r="U27" s="1556">
        <f>H27</f>
        <v>100</v>
      </c>
      <c r="V27" s="1555" t="s">
        <v>8</v>
      </c>
      <c r="W27" s="1556">
        <f>J27</f>
        <v>100</v>
      </c>
      <c r="X27" s="1557"/>
      <c r="Y27" s="3412"/>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12"/>
      <c r="Q28" s="1559" t="str">
        <f t="shared" si="8"/>
        <v>楼层</v>
      </c>
      <c r="R28" s="1560" t="s">
        <v>8</v>
      </c>
      <c r="S28" s="1561">
        <f t="shared" ref="S28:S46" si="9">F28</f>
        <v>100</v>
      </c>
      <c r="T28" s="1560" t="s">
        <v>8</v>
      </c>
      <c r="U28" s="1561">
        <f t="shared" ref="U28:U46" si="10">H28</f>
        <v>100</v>
      </c>
      <c r="V28" s="1560" t="s">
        <v>8</v>
      </c>
      <c r="W28" s="1561">
        <f t="shared" ref="W28:W46" si="11">J28</f>
        <v>100</v>
      </c>
      <c r="X28" s="1554"/>
      <c r="Y28" s="3412"/>
      <c r="Z28" s="1562" t="str">
        <f t="shared" ref="Z28:Z46" si="12">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2"/>
      <c r="Q29" s="1559">
        <f t="shared" si="8"/>
        <v>111</v>
      </c>
      <c r="R29" s="1560" t="s">
        <v>8</v>
      </c>
      <c r="S29" s="1561">
        <f t="shared" si="9"/>
        <v>100</v>
      </c>
      <c r="T29" s="1560" t="s">
        <v>8</v>
      </c>
      <c r="U29" s="1561">
        <f t="shared" si="10"/>
        <v>100</v>
      </c>
      <c r="V29" s="1560" t="s">
        <v>8</v>
      </c>
      <c r="W29" s="1561">
        <f t="shared" si="11"/>
        <v>100</v>
      </c>
      <c r="X29" s="1554"/>
      <c r="Y29" s="3412"/>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2"/>
      <c r="Q30" s="1559">
        <f t="shared" si="8"/>
        <v>111</v>
      </c>
      <c r="R30" s="1560" t="s">
        <v>8</v>
      </c>
      <c r="S30" s="1561">
        <f t="shared" si="9"/>
        <v>100</v>
      </c>
      <c r="T30" s="1560" t="s">
        <v>8</v>
      </c>
      <c r="U30" s="1561">
        <f t="shared" si="10"/>
        <v>100</v>
      </c>
      <c r="V30" s="1560" t="s">
        <v>8</v>
      </c>
      <c r="W30" s="1561">
        <f t="shared" si="11"/>
        <v>100</v>
      </c>
      <c r="X30" s="1554"/>
      <c r="Y30" s="3412"/>
      <c r="Z30" s="1562">
        <f t="shared" si="12"/>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2"/>
      <c r="Q31" s="1559">
        <f t="shared" si="8"/>
        <v>111</v>
      </c>
      <c r="R31" s="1560" t="s">
        <v>8</v>
      </c>
      <c r="S31" s="1561">
        <f t="shared" si="9"/>
        <v>100</v>
      </c>
      <c r="T31" s="1560" t="s">
        <v>8</v>
      </c>
      <c r="U31" s="1561">
        <f t="shared" si="10"/>
        <v>100</v>
      </c>
      <c r="V31" s="1560" t="s">
        <v>8</v>
      </c>
      <c r="W31" s="1561">
        <f t="shared" si="11"/>
        <v>100</v>
      </c>
      <c r="X31" s="1554"/>
      <c r="Y31" s="3412"/>
      <c r="Z31" s="1562">
        <f t="shared" si="12"/>
        <v>111</v>
      </c>
      <c r="AA31" s="1563">
        <f t="shared" si="3"/>
        <v>1</v>
      </c>
      <c r="AB31" s="1563">
        <f t="shared" si="4"/>
        <v>1</v>
      </c>
      <c r="AC31" s="1563">
        <f t="shared" si="5"/>
        <v>1</v>
      </c>
    </row>
    <row r="32" spans="1:29" ht="15">
      <c r="A32" s="2862"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3" t="s">
        <v>550</v>
      </c>
      <c r="Q32" s="1559" t="str">
        <f t="shared" si="8"/>
        <v>商业类型</v>
      </c>
      <c r="R32" s="1560" t="s">
        <v>8</v>
      </c>
      <c r="S32" s="1561">
        <f t="shared" si="9"/>
        <v>100</v>
      </c>
      <c r="T32" s="1560" t="s">
        <v>8</v>
      </c>
      <c r="U32" s="1561">
        <f t="shared" si="10"/>
        <v>100</v>
      </c>
      <c r="V32" s="1560" t="s">
        <v>8</v>
      </c>
      <c r="W32" s="1561">
        <f t="shared" si="11"/>
        <v>100</v>
      </c>
      <c r="X32" s="1554"/>
      <c r="Y32" s="3414" t="s">
        <v>550</v>
      </c>
      <c r="Z32" s="1562" t="str">
        <f t="shared" si="12"/>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4"/>
      <c r="Q33" s="1591" t="str">
        <f t="shared" si="8"/>
        <v>项目建筑规模</v>
      </c>
      <c r="R33" s="1564" t="s">
        <v>8</v>
      </c>
      <c r="S33" s="1565" t="e">
        <f t="shared" si="9"/>
        <v>#N/A</v>
      </c>
      <c r="T33" s="1564" t="s">
        <v>8</v>
      </c>
      <c r="U33" s="1565" t="e">
        <f t="shared" si="10"/>
        <v>#N/A</v>
      </c>
      <c r="V33" s="1564" t="s">
        <v>8</v>
      </c>
      <c r="W33" s="1565" t="e">
        <f t="shared" si="11"/>
        <v>#N/A</v>
      </c>
      <c r="X33" s="1566"/>
      <c r="Y33" s="3414"/>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4"/>
      <c r="Q34" s="1559" t="str">
        <f t="shared" si="8"/>
        <v>建筑结构</v>
      </c>
      <c r="R34" s="1560" t="s">
        <v>8</v>
      </c>
      <c r="S34" s="1561">
        <f t="shared" si="9"/>
        <v>100</v>
      </c>
      <c r="T34" s="1560" t="s">
        <v>8</v>
      </c>
      <c r="U34" s="1561">
        <f t="shared" si="10"/>
        <v>100</v>
      </c>
      <c r="V34" s="1560" t="s">
        <v>8</v>
      </c>
      <c r="W34" s="1561">
        <f t="shared" si="11"/>
        <v>100</v>
      </c>
      <c r="X34" s="1554"/>
      <c r="Y34" s="3414"/>
      <c r="Z34" s="1562" t="str">
        <f t="shared" si="12"/>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4"/>
      <c r="Q35" s="1559" t="str">
        <f t="shared" si="8"/>
        <v>公共部分装修</v>
      </c>
      <c r="R35" s="1560" t="s">
        <v>8</v>
      </c>
      <c r="S35" s="1561">
        <f t="shared" si="9"/>
        <v>100</v>
      </c>
      <c r="T35" s="1560" t="s">
        <v>8</v>
      </c>
      <c r="U35" s="1561">
        <f t="shared" si="10"/>
        <v>100</v>
      </c>
      <c r="V35" s="1560" t="s">
        <v>8</v>
      </c>
      <c r="W35" s="1561">
        <f t="shared" si="11"/>
        <v>100</v>
      </c>
      <c r="X35" s="1554"/>
      <c r="Y35" s="3414"/>
      <c r="Z35" s="1562" t="str">
        <f t="shared" si="12"/>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4"/>
      <c r="Q36" s="1559" t="str">
        <f t="shared" si="8"/>
        <v>成新度</v>
      </c>
      <c r="R36" s="1560" t="s">
        <v>8</v>
      </c>
      <c r="S36" s="1561" t="e">
        <f t="shared" si="9"/>
        <v>#N/A</v>
      </c>
      <c r="T36" s="1560" t="s">
        <v>8</v>
      </c>
      <c r="U36" s="1561" t="e">
        <f t="shared" si="10"/>
        <v>#N/A</v>
      </c>
      <c r="V36" s="1560" t="s">
        <v>8</v>
      </c>
      <c r="W36" s="1561" t="e">
        <f t="shared" si="11"/>
        <v>#N/A</v>
      </c>
      <c r="X36" s="1554"/>
      <c r="Y36" s="3414"/>
      <c r="Z36" s="1562" t="str">
        <f t="shared" si="12"/>
        <v>成新度</v>
      </c>
      <c r="AA36" s="1563" t="e">
        <f t="shared" si="3"/>
        <v>#N/A</v>
      </c>
      <c r="AB36" s="1563" t="e">
        <f t="shared" si="4"/>
        <v>#N/A</v>
      </c>
      <c r="AC36" s="1563" t="e">
        <f t="shared" si="5"/>
        <v>#N/A</v>
      </c>
    </row>
    <row r="37" spans="1:29" s="1216" customFormat="1" ht="15">
      <c r="A37" s="600"/>
      <c r="B37" s="1880"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4"/>
      <c r="Q37" s="1147" t="str">
        <f t="shared" si="8"/>
        <v>市政基础设施</v>
      </c>
      <c r="R37" s="1555" t="s">
        <v>8</v>
      </c>
      <c r="S37" s="1556">
        <f t="shared" si="9"/>
        <v>100</v>
      </c>
      <c r="T37" s="1555" t="s">
        <v>8</v>
      </c>
      <c r="U37" s="1556">
        <f t="shared" si="10"/>
        <v>100</v>
      </c>
      <c r="V37" s="1555" t="s">
        <v>8</v>
      </c>
      <c r="W37" s="1556">
        <f t="shared" si="11"/>
        <v>100</v>
      </c>
      <c r="X37" s="1557"/>
      <c r="Y37" s="3414"/>
      <c r="Z37" s="1146" t="str">
        <f t="shared" si="12"/>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4" t="s">
        <v>766</v>
      </c>
      <c r="Q38" s="1559" t="str">
        <f t="shared" si="8"/>
        <v>业态</v>
      </c>
      <c r="R38" s="1560" t="s">
        <v>8</v>
      </c>
      <c r="S38" s="1561">
        <f t="shared" si="9"/>
        <v>100</v>
      </c>
      <c r="T38" s="1560" t="s">
        <v>8</v>
      </c>
      <c r="U38" s="1561">
        <f t="shared" si="10"/>
        <v>100</v>
      </c>
      <c r="V38" s="1560" t="s">
        <v>8</v>
      </c>
      <c r="W38" s="1561">
        <f t="shared" si="11"/>
        <v>100</v>
      </c>
      <c r="X38" s="1554"/>
      <c r="Y38" s="3414" t="s">
        <v>766</v>
      </c>
      <c r="Z38" s="1562" t="str">
        <f t="shared" si="12"/>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4"/>
      <c r="Q39" s="1559" t="str">
        <f t="shared" si="8"/>
        <v>层高</v>
      </c>
      <c r="R39" s="1560" t="s">
        <v>8</v>
      </c>
      <c r="S39" s="1561">
        <f t="shared" si="9"/>
        <v>100</v>
      </c>
      <c r="T39" s="1560" t="s">
        <v>8</v>
      </c>
      <c r="U39" s="1561">
        <f t="shared" si="10"/>
        <v>100</v>
      </c>
      <c r="V39" s="1560" t="s">
        <v>8</v>
      </c>
      <c r="W39" s="1561">
        <f t="shared" si="11"/>
        <v>100</v>
      </c>
      <c r="X39" s="1554"/>
      <c r="Y39" s="3414"/>
      <c r="Z39" s="1562" t="str">
        <f t="shared" si="12"/>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4"/>
      <c r="Q40" s="1559" t="str">
        <f t="shared" si="8"/>
        <v>单套建筑面积</v>
      </c>
      <c r="R40" s="1560" t="s">
        <v>8</v>
      </c>
      <c r="S40" s="1561">
        <f t="shared" si="9"/>
        <v>100</v>
      </c>
      <c r="T40" s="1560" t="s">
        <v>8</v>
      </c>
      <c r="U40" s="1561">
        <f t="shared" si="10"/>
        <v>100</v>
      </c>
      <c r="V40" s="1560" t="s">
        <v>8</v>
      </c>
      <c r="W40" s="1561">
        <f t="shared" si="11"/>
        <v>100</v>
      </c>
      <c r="X40" s="1554"/>
      <c r="Y40" s="3414"/>
      <c r="Z40" s="1562" t="str">
        <f t="shared" si="12"/>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4"/>
      <c r="Q41" s="1591" t="str">
        <f t="shared" si="8"/>
        <v>进深比</v>
      </c>
      <c r="R41" s="1564" t="s">
        <v>8</v>
      </c>
      <c r="S41" s="1565">
        <f t="shared" si="9"/>
        <v>100</v>
      </c>
      <c r="T41" s="1564" t="s">
        <v>8</v>
      </c>
      <c r="U41" s="1565">
        <f t="shared" si="10"/>
        <v>100</v>
      </c>
      <c r="V41" s="1564" t="s">
        <v>8</v>
      </c>
      <c r="W41" s="1565">
        <f t="shared" si="11"/>
        <v>100</v>
      </c>
      <c r="X41" s="1566"/>
      <c r="Y41" s="3414"/>
      <c r="Z41" s="1567" t="str">
        <f t="shared" si="12"/>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4"/>
      <c r="Q42" s="1559" t="str">
        <f t="shared" si="8"/>
        <v>内部装修</v>
      </c>
      <c r="R42" s="1560" t="s">
        <v>8</v>
      </c>
      <c r="S42" s="1561">
        <f t="shared" si="9"/>
        <v>100</v>
      </c>
      <c r="T42" s="1560" t="s">
        <v>8</v>
      </c>
      <c r="U42" s="1561">
        <f t="shared" si="10"/>
        <v>100</v>
      </c>
      <c r="V42" s="1560" t="s">
        <v>8</v>
      </c>
      <c r="W42" s="1561">
        <f t="shared" si="11"/>
        <v>100</v>
      </c>
      <c r="X42" s="1554"/>
      <c r="Y42" s="3414"/>
      <c r="Z42" s="1562" t="str">
        <f t="shared" si="12"/>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4"/>
      <c r="Q43" s="1559" t="str">
        <f t="shared" si="8"/>
        <v>内部装修维护情况</v>
      </c>
      <c r="R43" s="1560" t="s">
        <v>8</v>
      </c>
      <c r="S43" s="1561">
        <f t="shared" si="9"/>
        <v>100</v>
      </c>
      <c r="T43" s="1560" t="s">
        <v>8</v>
      </c>
      <c r="U43" s="1561">
        <f t="shared" si="10"/>
        <v>100</v>
      </c>
      <c r="V43" s="1560" t="s">
        <v>8</v>
      </c>
      <c r="W43" s="1561">
        <f t="shared" si="11"/>
        <v>100</v>
      </c>
      <c r="X43" s="1554"/>
      <c r="Y43" s="3414"/>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4"/>
      <c r="Q44" s="1147">
        <f t="shared" si="8"/>
        <v>111</v>
      </c>
      <c r="R44" s="1555" t="s">
        <v>8</v>
      </c>
      <c r="S44" s="1556">
        <f t="shared" si="9"/>
        <v>100</v>
      </c>
      <c r="T44" s="1555" t="s">
        <v>8</v>
      </c>
      <c r="U44" s="1556">
        <f t="shared" si="10"/>
        <v>100</v>
      </c>
      <c r="V44" s="1555" t="s">
        <v>8</v>
      </c>
      <c r="W44" s="1556">
        <f t="shared" si="11"/>
        <v>100</v>
      </c>
      <c r="X44" s="1557"/>
      <c r="Y44" s="3414"/>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4"/>
      <c r="Q45" s="1559">
        <f t="shared" si="8"/>
        <v>111</v>
      </c>
      <c r="R45" s="1560" t="s">
        <v>8</v>
      </c>
      <c r="S45" s="1561">
        <f t="shared" si="9"/>
        <v>100</v>
      </c>
      <c r="T45" s="1560" t="s">
        <v>8</v>
      </c>
      <c r="U45" s="1561">
        <f t="shared" si="10"/>
        <v>100</v>
      </c>
      <c r="V45" s="1560" t="s">
        <v>8</v>
      </c>
      <c r="W45" s="1561">
        <f t="shared" si="11"/>
        <v>100</v>
      </c>
      <c r="X45" s="1554"/>
      <c r="Y45" s="3414"/>
      <c r="Z45" s="1562">
        <f t="shared" si="12"/>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8"/>
      <c r="Q46" s="1559">
        <f t="shared" si="8"/>
        <v>111</v>
      </c>
      <c r="R46" s="1560" t="s">
        <v>8</v>
      </c>
      <c r="S46" s="1561">
        <f t="shared" si="9"/>
        <v>100</v>
      </c>
      <c r="T46" s="1560" t="s">
        <v>8</v>
      </c>
      <c r="U46" s="1561">
        <f t="shared" si="10"/>
        <v>100</v>
      </c>
      <c r="V46" s="1560" t="s">
        <v>8</v>
      </c>
      <c r="W46" s="1561">
        <f t="shared" si="11"/>
        <v>100</v>
      </c>
      <c r="X46" s="1554"/>
      <c r="Y46" s="3518"/>
      <c r="Z46" s="1562">
        <f t="shared" si="12"/>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409" t="str">
        <f>A47</f>
        <v>成交单价（元/平方米）</v>
      </c>
      <c r="Q47" s="3409"/>
      <c r="R47" s="3517">
        <f>E47</f>
        <v>0</v>
      </c>
      <c r="S47" s="3517"/>
      <c r="T47" s="3517">
        <f>G47</f>
        <v>0</v>
      </c>
      <c r="U47" s="3517"/>
      <c r="V47" s="3517">
        <f>I47</f>
        <v>0</v>
      </c>
      <c r="W47" s="3517"/>
      <c r="X47" s="1546"/>
      <c r="Y47" s="1568"/>
      <c r="Z47" s="1546"/>
      <c r="AA47" s="1546"/>
      <c r="AB47" s="1546"/>
      <c r="AC47" s="1546"/>
    </row>
    <row r="48" spans="1:29" ht="15.75" thickBot="1">
      <c r="A48" s="615" t="s">
        <v>2754</v>
      </c>
      <c r="B48" s="888"/>
      <c r="C48" s="2597" t="e">
        <f>R49</f>
        <v>#DIV/0!</v>
      </c>
      <c r="D48" s="2598"/>
      <c r="E48" s="2599" t="e">
        <f>R48</f>
        <v>#DIV/0!</v>
      </c>
      <c r="F48" s="2599"/>
      <c r="G48" s="2597" t="e">
        <f>T48</f>
        <v>#DIV/0!</v>
      </c>
      <c r="H48" s="2598"/>
      <c r="I48" s="2599" t="e">
        <f>V48</f>
        <v>#DIV/0!</v>
      </c>
      <c r="J48" s="2598"/>
      <c r="K48" s="1598"/>
      <c r="L48" s="2129"/>
      <c r="M48" s="2130"/>
      <c r="N48" s="2119"/>
      <c r="O48" s="2130"/>
      <c r="P48" s="3409" t="str">
        <f>A48</f>
        <v>比较价格（元/平方米）</v>
      </c>
      <c r="Q48" s="3409"/>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2918</v>
      </c>
      <c r="B49" s="622"/>
      <c r="C49" s="2600" t="e">
        <f>R49</f>
        <v>#DIV/0!</v>
      </c>
      <c r="D49" s="2600"/>
      <c r="E49" s="2600"/>
      <c r="F49" s="2600"/>
      <c r="G49" s="2600"/>
      <c r="H49" s="2600"/>
      <c r="I49" s="2600"/>
      <c r="J49" s="2600"/>
      <c r="K49" s="1599"/>
      <c r="L49" s="2129"/>
      <c r="M49" s="2130"/>
      <c r="N49" s="2119"/>
      <c r="O49" s="2130"/>
      <c r="P49" s="3431" t="str">
        <f>A49</f>
        <v>估价对象XX用房的比较价格（楼面单价，元/平方米）</v>
      </c>
      <c r="Q49" s="3432"/>
      <c r="R49" s="3516" t="e">
        <f>IF(F1="售价",ROUND(AVERAGE(R48:V48),0),ROUND(AVERAGE(R48:V48),1))</f>
        <v>#DIV/0!</v>
      </c>
      <c r="S49" s="3516"/>
      <c r="T49" s="3516"/>
      <c r="U49" s="3516"/>
      <c r="V49" s="3516"/>
      <c r="W49" s="3516"/>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2020-3</v>
      </c>
      <c r="D58" s="2759">
        <f>EDATE(C58,-1)</f>
        <v>43862</v>
      </c>
      <c r="E58" s="2759">
        <f t="shared" ref="E58:O58" si="13">EDATE(D58,-1)</f>
        <v>43831</v>
      </c>
      <c r="F58" s="2759">
        <f t="shared" si="13"/>
        <v>43800</v>
      </c>
      <c r="G58" s="2759">
        <f t="shared" si="13"/>
        <v>43770</v>
      </c>
      <c r="H58" s="2759">
        <f t="shared" si="13"/>
        <v>43739</v>
      </c>
      <c r="I58" s="2759">
        <f t="shared" si="13"/>
        <v>43709</v>
      </c>
      <c r="J58" s="2759">
        <f t="shared" si="13"/>
        <v>43678</v>
      </c>
      <c r="K58" s="2759">
        <f t="shared" si="13"/>
        <v>43647</v>
      </c>
      <c r="L58" s="2759">
        <f t="shared" si="13"/>
        <v>43617</v>
      </c>
      <c r="M58" s="2759">
        <f t="shared" si="13"/>
        <v>43586</v>
      </c>
      <c r="N58" s="2759">
        <f t="shared" si="13"/>
        <v>43556</v>
      </c>
      <c r="O58" s="2759">
        <f t="shared" si="13"/>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2552</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415" t="s">
        <v>522</v>
      </c>
      <c r="D4" s="3416"/>
      <c r="E4" s="3440" t="s">
        <v>523</v>
      </c>
      <c r="F4" s="3441"/>
      <c r="G4" s="3415" t="s">
        <v>524</v>
      </c>
      <c r="H4" s="3416"/>
      <c r="I4" s="3415" t="s">
        <v>525</v>
      </c>
      <c r="J4" s="3416"/>
      <c r="K4" s="514" t="s">
        <v>526</v>
      </c>
      <c r="L4" s="2118"/>
      <c r="M4" s="2119"/>
      <c r="N4" s="2119"/>
      <c r="O4" s="2119"/>
      <c r="P4" s="3524" t="s">
        <v>527</v>
      </c>
      <c r="Q4" s="3418"/>
      <c r="R4" s="3403" t="s">
        <v>523</v>
      </c>
      <c r="S4" s="3404"/>
      <c r="T4" s="3403" t="s">
        <v>524</v>
      </c>
      <c r="U4" s="3404"/>
      <c r="V4" s="3423" t="s">
        <v>525</v>
      </c>
      <c r="W4" s="3423"/>
      <c r="X4" s="1554"/>
      <c r="Y4" s="3403" t="s">
        <v>527</v>
      </c>
      <c r="Z4" s="3404"/>
      <c r="AA4" s="3398" t="s">
        <v>523</v>
      </c>
      <c r="AB4" s="3398" t="s">
        <v>524</v>
      </c>
      <c r="AC4" s="3398" t="s">
        <v>525</v>
      </c>
    </row>
    <row r="5" spans="1:29" ht="15">
      <c r="A5" s="515"/>
      <c r="B5" s="516"/>
      <c r="C5" s="3444" t="s">
        <v>2912</v>
      </c>
      <c r="D5" s="3445"/>
      <c r="E5" s="3442" t="s">
        <v>2913</v>
      </c>
      <c r="F5" s="3443"/>
      <c r="G5" s="3444" t="s">
        <v>2914</v>
      </c>
      <c r="H5" s="3445"/>
      <c r="I5" s="3444" t="s">
        <v>2915</v>
      </c>
      <c r="J5" s="3445"/>
      <c r="K5" s="514"/>
      <c r="L5" s="2118"/>
      <c r="M5" s="2119"/>
      <c r="N5" s="2119"/>
      <c r="O5" s="2119"/>
      <c r="P5" s="3525"/>
      <c r="Q5" s="3420"/>
      <c r="R5" s="3405"/>
      <c r="S5" s="3406"/>
      <c r="T5" s="3405"/>
      <c r="U5" s="3406"/>
      <c r="V5" s="3423"/>
      <c r="W5" s="3423"/>
      <c r="X5" s="1554"/>
      <c r="Y5" s="3405"/>
      <c r="Z5" s="3406"/>
      <c r="AA5" s="3399"/>
      <c r="AB5" s="3399"/>
      <c r="AC5" s="3399"/>
    </row>
    <row r="6" spans="1:29" ht="15.75" thickBot="1">
      <c r="A6" s="517"/>
      <c r="B6" s="518"/>
      <c r="C6" s="3446" t="s">
        <v>2916</v>
      </c>
      <c r="D6" s="3447"/>
      <c r="E6" s="3448" t="s">
        <v>2916</v>
      </c>
      <c r="F6" s="3449"/>
      <c r="G6" s="3446" t="s">
        <v>2916</v>
      </c>
      <c r="H6" s="3447"/>
      <c r="I6" s="3446" t="s">
        <v>2916</v>
      </c>
      <c r="J6" s="3447"/>
      <c r="K6" s="514" t="s">
        <v>528</v>
      </c>
      <c r="L6" s="2118"/>
      <c r="M6" s="2119"/>
      <c r="N6" s="2119"/>
      <c r="O6" s="2119"/>
      <c r="P6" s="3526"/>
      <c r="Q6" s="3422"/>
      <c r="R6" s="3405"/>
      <c r="S6" s="3406"/>
      <c r="T6" s="3407"/>
      <c r="U6" s="3408"/>
      <c r="V6" s="3423"/>
      <c r="W6" s="3423"/>
      <c r="X6" s="1554"/>
      <c r="Y6" s="3407"/>
      <c r="Z6" s="3408"/>
      <c r="AA6" s="3400"/>
      <c r="AB6" s="3400"/>
      <c r="AC6" s="3400"/>
    </row>
    <row r="7" spans="1:29" s="1216" customFormat="1" ht="15.75" thickBot="1">
      <c r="A7" s="2867"/>
      <c r="B7" s="2874" t="s">
        <v>529</v>
      </c>
      <c r="C7" s="519">
        <f>'数据-取费表'!B2</f>
        <v>43910</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0" t="s">
        <v>530</v>
      </c>
      <c r="Q7" s="3410"/>
      <c r="R7" s="1555" t="s">
        <v>8</v>
      </c>
      <c r="S7" s="1556">
        <f t="shared" ref="S7:S15" si="0">F7</f>
        <v>0</v>
      </c>
      <c r="T7" s="1555" t="s">
        <v>8</v>
      </c>
      <c r="U7" s="1556">
        <f t="shared" ref="U7:U15" si="1">H7</f>
        <v>0</v>
      </c>
      <c r="V7" s="1555" t="s">
        <v>8</v>
      </c>
      <c r="W7" s="1556">
        <f t="shared" ref="W7:W15" si="2">J7</f>
        <v>0</v>
      </c>
      <c r="X7" s="1557"/>
      <c r="Y7" s="3401" t="s">
        <v>530</v>
      </c>
      <c r="Z7" s="3402"/>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0" t="s">
        <v>533</v>
      </c>
      <c r="Q8" s="3402"/>
      <c r="R8" s="1555" t="s">
        <v>8</v>
      </c>
      <c r="S8" s="1556">
        <f t="shared" si="0"/>
        <v>0</v>
      </c>
      <c r="T8" s="1555" t="s">
        <v>8</v>
      </c>
      <c r="U8" s="1556">
        <f t="shared" si="1"/>
        <v>0</v>
      </c>
      <c r="V8" s="1555" t="s">
        <v>8</v>
      </c>
      <c r="W8" s="1556">
        <f t="shared" si="2"/>
        <v>0</v>
      </c>
      <c r="X8" s="1557"/>
      <c r="Y8" s="3401" t="s">
        <v>533</v>
      </c>
      <c r="Z8" s="3402"/>
      <c r="AA8" s="1558" t="e">
        <f t="shared" ref="AA8:AA47" si="3">D8/F8</f>
        <v>#DIV/0!</v>
      </c>
      <c r="AB8" s="1558" t="e">
        <f t="shared" ref="AB8:AB47" si="4">D8/H8</f>
        <v>#DIV/0!</v>
      </c>
      <c r="AC8" s="1558" t="e">
        <f t="shared" ref="AC8:AC47" si="5">D8/J8</f>
        <v>#DIV/0!</v>
      </c>
    </row>
    <row r="9" spans="1:29" s="1216" customFormat="1" ht="15">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09" t="s">
        <v>535</v>
      </c>
      <c r="Q9" s="1147" t="str">
        <f t="shared" ref="Q9:Q15" si="6">B9</f>
        <v>用途</v>
      </c>
      <c r="R9" s="1555" t="s">
        <v>8</v>
      </c>
      <c r="S9" s="1556">
        <f t="shared" si="0"/>
        <v>100</v>
      </c>
      <c r="T9" s="1555" t="s">
        <v>8</v>
      </c>
      <c r="U9" s="1556">
        <f t="shared" si="1"/>
        <v>100</v>
      </c>
      <c r="V9" s="1555" t="s">
        <v>8</v>
      </c>
      <c r="W9" s="1556">
        <f t="shared" si="2"/>
        <v>100</v>
      </c>
      <c r="X9" s="1557"/>
      <c r="Y9" s="3366" t="s">
        <v>536</v>
      </c>
      <c r="Z9" s="1146" t="str">
        <f t="shared" ref="Z9:Z15" si="7">Q9</f>
        <v>用途</v>
      </c>
      <c r="AA9" s="1558">
        <f t="shared" si="3"/>
        <v>1</v>
      </c>
      <c r="AB9" s="1558">
        <f t="shared" si="4"/>
        <v>1</v>
      </c>
      <c r="AC9" s="1558">
        <f t="shared" si="5"/>
        <v>1</v>
      </c>
    </row>
    <row r="10" spans="1:29" s="1334" customFormat="1" ht="27">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09"/>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09"/>
      <c r="Q11" s="1147" t="str">
        <f t="shared" si="6"/>
        <v>容积率</v>
      </c>
      <c r="R11" s="1555" t="s">
        <v>8</v>
      </c>
      <c r="S11" s="1556" t="e">
        <f t="shared" si="0"/>
        <v>#N/A</v>
      </c>
      <c r="T11" s="1555" t="s">
        <v>8</v>
      </c>
      <c r="U11" s="1556" t="e">
        <f t="shared" si="1"/>
        <v>#N/A</v>
      </c>
      <c r="V11" s="1555" t="s">
        <v>8</v>
      </c>
      <c r="W11" s="1556" t="e">
        <f t="shared" si="2"/>
        <v>#N/A</v>
      </c>
      <c r="X11" s="1557"/>
      <c r="Y11" s="336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09"/>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09"/>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09"/>
      <c r="Q14" s="1147">
        <f t="shared" si="6"/>
        <v>111</v>
      </c>
      <c r="R14" s="1555" t="s">
        <v>8</v>
      </c>
      <c r="S14" s="1556">
        <f t="shared" si="0"/>
        <v>100</v>
      </c>
      <c r="T14" s="1555" t="s">
        <v>8</v>
      </c>
      <c r="U14" s="1556">
        <f t="shared" si="1"/>
        <v>100</v>
      </c>
      <c r="V14" s="1555" t="s">
        <v>8</v>
      </c>
      <c r="W14" s="1556">
        <f t="shared" si="2"/>
        <v>100</v>
      </c>
      <c r="X14" s="1557"/>
      <c r="Y14" s="3366"/>
      <c r="Z14" s="1146">
        <f t="shared" si="7"/>
        <v>111</v>
      </c>
      <c r="AA14" s="1558">
        <f t="shared" si="3"/>
        <v>1</v>
      </c>
      <c r="AB14" s="1558">
        <f t="shared" si="4"/>
        <v>1</v>
      </c>
      <c r="AC14" s="1558">
        <f t="shared" si="5"/>
        <v>1</v>
      </c>
    </row>
    <row r="15" spans="1:29" ht="15">
      <c r="A15" s="2865" t="s">
        <v>2748</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11" t="s">
        <v>540</v>
      </c>
      <c r="Q15" s="1559" t="str">
        <f t="shared" si="6"/>
        <v>办公集聚程度</v>
      </c>
      <c r="R15" s="1560" t="s">
        <v>8</v>
      </c>
      <c r="S15" s="1561">
        <f t="shared" si="0"/>
        <v>100</v>
      </c>
      <c r="T15" s="1560" t="s">
        <v>8</v>
      </c>
      <c r="U15" s="1561">
        <f t="shared" si="1"/>
        <v>100</v>
      </c>
      <c r="V15" s="1560" t="s">
        <v>8</v>
      </c>
      <c r="W15" s="1561">
        <f t="shared" si="2"/>
        <v>100</v>
      </c>
      <c r="X15" s="1554"/>
      <c r="Y15" s="3411"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12"/>
      <c r="Q16" s="1559"/>
      <c r="R16" s="1560"/>
      <c r="S16" s="1561"/>
      <c r="T16" s="1560"/>
      <c r="U16" s="1561"/>
      <c r="V16" s="1560"/>
      <c r="W16" s="1561"/>
      <c r="X16" s="1554"/>
      <c r="Y16" s="3412"/>
      <c r="Z16" s="1562"/>
      <c r="AA16" s="1563">
        <v>1</v>
      </c>
      <c r="AB16" s="1563">
        <v>1</v>
      </c>
      <c r="AC16" s="1563">
        <v>1</v>
      </c>
    </row>
    <row r="17" spans="1:29" ht="15">
      <c r="A17" s="532"/>
      <c r="B17" s="560" t="s">
        <v>296</v>
      </c>
      <c r="C17" s="573" t="str">
        <f>估价对象房地状况!C6</f>
        <v>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2"/>
      <c r="Q17" s="1559" t="str">
        <f>B17</f>
        <v>交通便捷度</v>
      </c>
      <c r="R17" s="1560" t="s">
        <v>8</v>
      </c>
      <c r="S17" s="1561">
        <f>F17</f>
        <v>100</v>
      </c>
      <c r="T17" s="1560" t="s">
        <v>8</v>
      </c>
      <c r="U17" s="1561">
        <f>H17</f>
        <v>100</v>
      </c>
      <c r="V17" s="1560" t="s">
        <v>8</v>
      </c>
      <c r="W17" s="1561">
        <f>J17</f>
        <v>100</v>
      </c>
      <c r="X17" s="1554"/>
      <c r="Y17" s="341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12"/>
      <c r="Q18" s="1559"/>
      <c r="R18" s="1560"/>
      <c r="S18" s="1561"/>
      <c r="T18" s="1560"/>
      <c r="U18" s="1561"/>
      <c r="V18" s="1560"/>
      <c r="W18" s="1561"/>
      <c r="X18" s="1554"/>
      <c r="Y18" s="3412"/>
      <c r="Z18" s="1562"/>
      <c r="AA18" s="1563">
        <v>1</v>
      </c>
      <c r="AB18" s="1563">
        <v>1</v>
      </c>
      <c r="AC18" s="1563">
        <v>1</v>
      </c>
    </row>
    <row r="19" spans="1:29" ht="15">
      <c r="A19" s="532"/>
      <c r="B19" s="2567" t="s">
        <v>2542</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2"/>
      <c r="Q19" s="1559" t="str">
        <f>B19</f>
        <v>公共配套设施</v>
      </c>
      <c r="R19" s="1560" t="s">
        <v>8</v>
      </c>
      <c r="S19" s="1561">
        <f>F19</f>
        <v>100</v>
      </c>
      <c r="T19" s="1560" t="s">
        <v>8</v>
      </c>
      <c r="U19" s="1561">
        <f>H19</f>
        <v>100</v>
      </c>
      <c r="V19" s="1560" t="s">
        <v>8</v>
      </c>
      <c r="W19" s="1561">
        <f>J19</f>
        <v>100</v>
      </c>
      <c r="X19" s="1554"/>
      <c r="Y19" s="341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12"/>
      <c r="Q20" s="1559"/>
      <c r="R20" s="1560"/>
      <c r="S20" s="1561"/>
      <c r="T20" s="1560"/>
      <c r="U20" s="1561"/>
      <c r="V20" s="1560"/>
      <c r="W20" s="1561"/>
      <c r="X20" s="1554"/>
      <c r="Y20" s="3412"/>
      <c r="Z20" s="1562"/>
      <c r="AA20" s="1563">
        <v>1</v>
      </c>
      <c r="AB20" s="1563">
        <v>1</v>
      </c>
      <c r="AC20" s="1563">
        <v>1</v>
      </c>
    </row>
    <row r="21" spans="1:29" ht="15">
      <c r="A21" s="532"/>
      <c r="B21" s="2555" t="s">
        <v>2554</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2"/>
      <c r="Q21" s="2543" t="str">
        <f>B21</f>
        <v>基础设施水平</v>
      </c>
      <c r="R21" s="1560" t="s">
        <v>8</v>
      </c>
      <c r="S21" s="1561">
        <f>F21</f>
        <v>100</v>
      </c>
      <c r="T21" s="1560" t="s">
        <v>8</v>
      </c>
      <c r="U21" s="1561">
        <f>H21</f>
        <v>100</v>
      </c>
      <c r="V21" s="1560" t="s">
        <v>8</v>
      </c>
      <c r="W21" s="1561">
        <f>J21</f>
        <v>100</v>
      </c>
      <c r="X21" s="2545"/>
      <c r="Y21" s="3412"/>
      <c r="Z21" s="2544" t="str">
        <f>Q21</f>
        <v>基础设施水平</v>
      </c>
      <c r="AA21" s="1563">
        <f>D21/F21</f>
        <v>1</v>
      </c>
      <c r="AB21" s="1563">
        <f>D21/H21</f>
        <v>1</v>
      </c>
      <c r="AC21" s="1563">
        <f>D21/J21</f>
        <v>1</v>
      </c>
    </row>
    <row r="22" spans="1:29" ht="15">
      <c r="A22" s="532"/>
      <c r="B22" s="578"/>
      <c r="C22" s="567"/>
      <c r="D22" s="555"/>
      <c r="E22" s="576"/>
      <c r="F22" s="555"/>
      <c r="G22" s="554"/>
      <c r="H22" s="555"/>
      <c r="I22" s="554"/>
      <c r="J22" s="555"/>
      <c r="K22" s="2566"/>
      <c r="L22" s="2127"/>
      <c r="M22" s="2119"/>
      <c r="N22" s="2119"/>
      <c r="O22" s="2119"/>
      <c r="P22" s="3412"/>
      <c r="Q22" s="2543"/>
      <c r="R22" s="1560"/>
      <c r="S22" s="1561"/>
      <c r="T22" s="1560"/>
      <c r="U22" s="1561"/>
      <c r="V22" s="1560"/>
      <c r="W22" s="1561"/>
      <c r="X22" s="2545"/>
      <c r="Y22" s="3412"/>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2"/>
      <c r="Q23" s="1559" t="str">
        <f>B23</f>
        <v>环境质量</v>
      </c>
      <c r="R23" s="1560" t="s">
        <v>8</v>
      </c>
      <c r="S23" s="1561">
        <f>F23</f>
        <v>100</v>
      </c>
      <c r="T23" s="1560" t="s">
        <v>8</v>
      </c>
      <c r="U23" s="1561">
        <f>H23</f>
        <v>100</v>
      </c>
      <c r="V23" s="1560" t="s">
        <v>8</v>
      </c>
      <c r="W23" s="1561">
        <f>J23</f>
        <v>100</v>
      </c>
      <c r="X23" s="1554"/>
      <c r="Y23" s="341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12"/>
      <c r="Q24" s="1559"/>
      <c r="R24" s="1560"/>
      <c r="S24" s="1561"/>
      <c r="T24" s="1560"/>
      <c r="U24" s="1561"/>
      <c r="V24" s="1560"/>
      <c r="W24" s="1561"/>
      <c r="X24" s="1554"/>
      <c r="Y24" s="3412"/>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2"/>
      <c r="Q25" s="1559" t="str">
        <f>B25</f>
        <v>毗邻道路的类型与等级</v>
      </c>
      <c r="R25" s="1560" t="s">
        <v>8</v>
      </c>
      <c r="S25" s="1561">
        <f>F25</f>
        <v>100</v>
      </c>
      <c r="T25" s="1560" t="s">
        <v>8</v>
      </c>
      <c r="U25" s="1561">
        <f>H25</f>
        <v>100</v>
      </c>
      <c r="V25" s="1560" t="s">
        <v>8</v>
      </c>
      <c r="W25" s="1561">
        <f>J25</f>
        <v>100</v>
      </c>
      <c r="X25" s="1554"/>
      <c r="Y25" s="341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12"/>
      <c r="Q26" s="1559"/>
      <c r="R26" s="1560"/>
      <c r="S26" s="1561"/>
      <c r="T26" s="1560"/>
      <c r="U26" s="1561"/>
      <c r="V26" s="1560"/>
      <c r="W26" s="1561"/>
      <c r="X26" s="1554"/>
      <c r="Y26" s="3412"/>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2"/>
      <c r="Q27" s="1559" t="str">
        <f t="shared" ref="Q27:Q47" si="8">B27</f>
        <v>楼层</v>
      </c>
      <c r="R27" s="1560" t="s">
        <v>8</v>
      </c>
      <c r="S27" s="1561">
        <f>F27</f>
        <v>100</v>
      </c>
      <c r="T27" s="1560" t="s">
        <v>8</v>
      </c>
      <c r="U27" s="1561">
        <f>H27</f>
        <v>100</v>
      </c>
      <c r="V27" s="1560" t="s">
        <v>8</v>
      </c>
      <c r="W27" s="1561">
        <f>J27</f>
        <v>100</v>
      </c>
      <c r="X27" s="1554"/>
      <c r="Y27" s="3412"/>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2"/>
      <c r="Q28" s="1147" t="str">
        <f t="shared" si="8"/>
        <v>朝向</v>
      </c>
      <c r="R28" s="1555" t="s">
        <v>8</v>
      </c>
      <c r="S28" s="1556">
        <f>F28</f>
        <v>100</v>
      </c>
      <c r="T28" s="1555" t="s">
        <v>8</v>
      </c>
      <c r="U28" s="1556">
        <f>H28</f>
        <v>100</v>
      </c>
      <c r="V28" s="1555" t="s">
        <v>8</v>
      </c>
      <c r="W28" s="1556">
        <f>J28</f>
        <v>100</v>
      </c>
      <c r="X28" s="1557"/>
      <c r="Y28" s="341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2"/>
      <c r="Q29" s="1559">
        <f t="shared" si="8"/>
        <v>111</v>
      </c>
      <c r="R29" s="1560" t="s">
        <v>8</v>
      </c>
      <c r="S29" s="1561">
        <f t="shared" ref="S29:S47" si="9">F29</f>
        <v>100</v>
      </c>
      <c r="T29" s="1560" t="s">
        <v>8</v>
      </c>
      <c r="U29" s="1561">
        <f t="shared" ref="U29:U47" si="10">H29</f>
        <v>100</v>
      </c>
      <c r="V29" s="1560" t="s">
        <v>8</v>
      </c>
      <c r="W29" s="1561">
        <f t="shared" ref="W29:W47" si="11">J29</f>
        <v>100</v>
      </c>
      <c r="X29" s="1554"/>
      <c r="Y29" s="3412"/>
      <c r="Z29" s="1562">
        <f t="shared" ref="Z29:Z47" si="12">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2"/>
      <c r="Q30" s="1559">
        <f t="shared" si="8"/>
        <v>111</v>
      </c>
      <c r="R30" s="1560" t="s">
        <v>8</v>
      </c>
      <c r="S30" s="1561">
        <f t="shared" si="9"/>
        <v>100</v>
      </c>
      <c r="T30" s="1560" t="s">
        <v>8</v>
      </c>
      <c r="U30" s="1561">
        <f t="shared" si="10"/>
        <v>100</v>
      </c>
      <c r="V30" s="1560" t="s">
        <v>8</v>
      </c>
      <c r="W30" s="1561">
        <f t="shared" si="11"/>
        <v>100</v>
      </c>
      <c r="X30" s="1554"/>
      <c r="Y30" s="3412"/>
      <c r="Z30" s="1562">
        <f t="shared" si="12"/>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2"/>
      <c r="Q31" s="1559">
        <f t="shared" si="8"/>
        <v>111</v>
      </c>
      <c r="R31" s="1560" t="s">
        <v>8</v>
      </c>
      <c r="S31" s="1561">
        <f t="shared" si="9"/>
        <v>100</v>
      </c>
      <c r="T31" s="1560" t="s">
        <v>8</v>
      </c>
      <c r="U31" s="1561">
        <f t="shared" si="10"/>
        <v>100</v>
      </c>
      <c r="V31" s="1560" t="s">
        <v>8</v>
      </c>
      <c r="W31" s="1561">
        <f t="shared" si="11"/>
        <v>100</v>
      </c>
      <c r="X31" s="1554"/>
      <c r="Y31" s="3412"/>
      <c r="Z31" s="1562">
        <f t="shared" si="12"/>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2"/>
      <c r="Q32" s="1559">
        <f t="shared" si="8"/>
        <v>111</v>
      </c>
      <c r="R32" s="1560" t="s">
        <v>8</v>
      </c>
      <c r="S32" s="1561">
        <f t="shared" si="9"/>
        <v>100</v>
      </c>
      <c r="T32" s="1560" t="s">
        <v>8</v>
      </c>
      <c r="U32" s="1561">
        <f t="shared" si="10"/>
        <v>100</v>
      </c>
      <c r="V32" s="1560" t="s">
        <v>8</v>
      </c>
      <c r="W32" s="1561">
        <f t="shared" si="11"/>
        <v>100</v>
      </c>
      <c r="X32" s="1554"/>
      <c r="Y32" s="3412"/>
      <c r="Z32" s="1562">
        <f t="shared" si="12"/>
        <v>111</v>
      </c>
      <c r="AA32" s="1563">
        <f t="shared" si="3"/>
        <v>1</v>
      </c>
      <c r="AB32" s="1563">
        <f t="shared" si="4"/>
        <v>1</v>
      </c>
      <c r="AC32" s="1563">
        <f t="shared" si="5"/>
        <v>1</v>
      </c>
    </row>
    <row r="33" spans="1:29" ht="15">
      <c r="A33" s="2862"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3" t="s">
        <v>550</v>
      </c>
      <c r="Q33" s="1559" t="str">
        <f t="shared" si="8"/>
        <v>建筑类型</v>
      </c>
      <c r="R33" s="1560" t="s">
        <v>8</v>
      </c>
      <c r="S33" s="1561">
        <f t="shared" si="9"/>
        <v>100</v>
      </c>
      <c r="T33" s="1560" t="s">
        <v>8</v>
      </c>
      <c r="U33" s="1561">
        <f t="shared" si="10"/>
        <v>100</v>
      </c>
      <c r="V33" s="1560" t="s">
        <v>8</v>
      </c>
      <c r="W33" s="1561">
        <f t="shared" si="11"/>
        <v>100</v>
      </c>
      <c r="X33" s="1554"/>
      <c r="Y33" s="3414" t="s">
        <v>550</v>
      </c>
      <c r="Z33" s="1562" t="str">
        <f t="shared" si="12"/>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4"/>
      <c r="Q34" s="1591" t="str">
        <f t="shared" si="8"/>
        <v>项目建筑规模</v>
      </c>
      <c r="R34" s="1564" t="s">
        <v>8</v>
      </c>
      <c r="S34" s="1565" t="e">
        <f t="shared" si="9"/>
        <v>#N/A</v>
      </c>
      <c r="T34" s="1564" t="s">
        <v>8</v>
      </c>
      <c r="U34" s="1565" t="e">
        <f t="shared" si="10"/>
        <v>#N/A</v>
      </c>
      <c r="V34" s="1564" t="s">
        <v>8</v>
      </c>
      <c r="W34" s="1565" t="e">
        <f t="shared" si="11"/>
        <v>#N/A</v>
      </c>
      <c r="X34" s="1566"/>
      <c r="Y34" s="3414"/>
      <c r="Z34" s="1567" t="str">
        <f t="shared" si="12"/>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4"/>
      <c r="Q35" s="1559" t="str">
        <f t="shared" si="8"/>
        <v>建筑结构</v>
      </c>
      <c r="R35" s="1560" t="s">
        <v>8</v>
      </c>
      <c r="S35" s="1561">
        <f t="shared" si="9"/>
        <v>100</v>
      </c>
      <c r="T35" s="1560" t="s">
        <v>8</v>
      </c>
      <c r="U35" s="1561">
        <f t="shared" si="10"/>
        <v>100</v>
      </c>
      <c r="V35" s="1560" t="s">
        <v>8</v>
      </c>
      <c r="W35" s="1561">
        <f t="shared" si="11"/>
        <v>100</v>
      </c>
      <c r="X35" s="1554"/>
      <c r="Y35" s="3414"/>
      <c r="Z35" s="1562" t="str">
        <f t="shared" si="12"/>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4"/>
      <c r="Q36" s="1559" t="str">
        <f t="shared" si="8"/>
        <v>公共部分装修</v>
      </c>
      <c r="R36" s="1560" t="s">
        <v>8</v>
      </c>
      <c r="S36" s="1561">
        <f t="shared" si="9"/>
        <v>100</v>
      </c>
      <c r="T36" s="1560" t="s">
        <v>8</v>
      </c>
      <c r="U36" s="1561">
        <f t="shared" si="10"/>
        <v>100</v>
      </c>
      <c r="V36" s="1560" t="s">
        <v>8</v>
      </c>
      <c r="W36" s="1561">
        <f t="shared" si="11"/>
        <v>100</v>
      </c>
      <c r="X36" s="1554"/>
      <c r="Y36" s="3414"/>
      <c r="Z36" s="1562" t="str">
        <f t="shared" si="12"/>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4"/>
      <c r="Q37" s="1559" t="str">
        <f t="shared" si="8"/>
        <v>成新度</v>
      </c>
      <c r="R37" s="1560" t="s">
        <v>8</v>
      </c>
      <c r="S37" s="1561" t="e">
        <f t="shared" si="9"/>
        <v>#N/A</v>
      </c>
      <c r="T37" s="1560" t="s">
        <v>8</v>
      </c>
      <c r="U37" s="1561" t="e">
        <f t="shared" si="10"/>
        <v>#N/A</v>
      </c>
      <c r="V37" s="1560" t="s">
        <v>8</v>
      </c>
      <c r="W37" s="1561" t="e">
        <f t="shared" si="11"/>
        <v>#N/A</v>
      </c>
      <c r="X37" s="1554"/>
      <c r="Y37" s="3414"/>
      <c r="Z37" s="1562" t="str">
        <f t="shared" si="12"/>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4"/>
      <c r="Q38" s="1147" t="str">
        <f t="shared" si="8"/>
        <v>写字楼等级</v>
      </c>
      <c r="R38" s="1555" t="s">
        <v>8</v>
      </c>
      <c r="S38" s="1556">
        <f t="shared" si="9"/>
        <v>100</v>
      </c>
      <c r="T38" s="1555" t="s">
        <v>8</v>
      </c>
      <c r="U38" s="1556">
        <f t="shared" si="10"/>
        <v>100</v>
      </c>
      <c r="V38" s="1555" t="s">
        <v>8</v>
      </c>
      <c r="W38" s="1556">
        <f t="shared" si="11"/>
        <v>100</v>
      </c>
      <c r="X38" s="1557"/>
      <c r="Y38" s="3414"/>
      <c r="Z38" s="1146" t="str">
        <f t="shared" si="12"/>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4" t="s">
        <v>550</v>
      </c>
      <c r="Q39" s="1559" t="str">
        <f t="shared" si="8"/>
        <v>物业管理</v>
      </c>
      <c r="R39" s="1560" t="s">
        <v>8</v>
      </c>
      <c r="S39" s="1561">
        <f t="shared" si="9"/>
        <v>100</v>
      </c>
      <c r="T39" s="1560" t="s">
        <v>8</v>
      </c>
      <c r="U39" s="1561">
        <f t="shared" si="10"/>
        <v>100</v>
      </c>
      <c r="V39" s="1560" t="s">
        <v>8</v>
      </c>
      <c r="W39" s="1561">
        <f t="shared" si="11"/>
        <v>100</v>
      </c>
      <c r="X39" s="1554"/>
      <c r="Y39" s="3414" t="s">
        <v>550</v>
      </c>
      <c r="Z39" s="1562" t="str">
        <f t="shared" si="12"/>
        <v>物业管理</v>
      </c>
      <c r="AA39" s="1563">
        <f t="shared" si="3"/>
        <v>1</v>
      </c>
      <c r="AB39" s="1563">
        <f t="shared" si="4"/>
        <v>1</v>
      </c>
      <c r="AC39" s="1563">
        <f t="shared" si="5"/>
        <v>1</v>
      </c>
    </row>
    <row r="40" spans="1:29" ht="15">
      <c r="A40" s="594"/>
      <c r="B40" s="1880"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4"/>
      <c r="Q40" s="1559" t="str">
        <f t="shared" si="8"/>
        <v>市政基础设施</v>
      </c>
      <c r="R40" s="1560" t="s">
        <v>8</v>
      </c>
      <c r="S40" s="1561">
        <f t="shared" si="9"/>
        <v>100</v>
      </c>
      <c r="T40" s="1560" t="s">
        <v>8</v>
      </c>
      <c r="U40" s="1561">
        <f t="shared" si="10"/>
        <v>100</v>
      </c>
      <c r="V40" s="1560" t="s">
        <v>8</v>
      </c>
      <c r="W40" s="1561">
        <f t="shared" si="11"/>
        <v>100</v>
      </c>
      <c r="X40" s="1554"/>
      <c r="Y40" s="3414"/>
      <c r="Z40" s="1562" t="str">
        <f t="shared" si="12"/>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4"/>
      <c r="Q41" s="1559" t="str">
        <f t="shared" si="8"/>
        <v>层高</v>
      </c>
      <c r="R41" s="1560" t="s">
        <v>8</v>
      </c>
      <c r="S41" s="1561">
        <f t="shared" si="9"/>
        <v>100</v>
      </c>
      <c r="T41" s="1560" t="s">
        <v>8</v>
      </c>
      <c r="U41" s="1561">
        <f t="shared" si="10"/>
        <v>100</v>
      </c>
      <c r="V41" s="1560" t="s">
        <v>8</v>
      </c>
      <c r="W41" s="1561">
        <f t="shared" si="11"/>
        <v>100</v>
      </c>
      <c r="X41" s="1554"/>
      <c r="Y41" s="3414"/>
      <c r="Z41" s="1562" t="str">
        <f t="shared" si="12"/>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4"/>
      <c r="Q42" s="1591" t="str">
        <f t="shared" si="8"/>
        <v>单套建筑面积</v>
      </c>
      <c r="R42" s="1564" t="s">
        <v>8</v>
      </c>
      <c r="S42" s="1565">
        <f t="shared" si="9"/>
        <v>100</v>
      </c>
      <c r="T42" s="1564" t="s">
        <v>8</v>
      </c>
      <c r="U42" s="1565">
        <f t="shared" si="10"/>
        <v>100</v>
      </c>
      <c r="V42" s="1564" t="s">
        <v>8</v>
      </c>
      <c r="W42" s="1565">
        <f t="shared" si="11"/>
        <v>100</v>
      </c>
      <c r="X42" s="1566"/>
      <c r="Y42" s="3414"/>
      <c r="Z42" s="1567" t="str">
        <f t="shared" si="12"/>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4"/>
      <c r="Q43" s="1559" t="str">
        <f t="shared" si="8"/>
        <v>内部装修</v>
      </c>
      <c r="R43" s="1560" t="s">
        <v>8</v>
      </c>
      <c r="S43" s="1561">
        <f t="shared" si="9"/>
        <v>100</v>
      </c>
      <c r="T43" s="1560" t="s">
        <v>8</v>
      </c>
      <c r="U43" s="1561">
        <f t="shared" si="10"/>
        <v>100</v>
      </c>
      <c r="V43" s="1560" t="s">
        <v>8</v>
      </c>
      <c r="W43" s="1561">
        <f t="shared" si="11"/>
        <v>100</v>
      </c>
      <c r="X43" s="1554"/>
      <c r="Y43" s="3414"/>
      <c r="Z43" s="1562" t="str">
        <f t="shared" si="12"/>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4"/>
      <c r="Q44" s="1559" t="str">
        <f t="shared" si="8"/>
        <v>内部装修维护情况</v>
      </c>
      <c r="R44" s="1560" t="s">
        <v>8</v>
      </c>
      <c r="S44" s="1561">
        <f t="shared" si="9"/>
        <v>100</v>
      </c>
      <c r="T44" s="1560" t="s">
        <v>8</v>
      </c>
      <c r="U44" s="1561">
        <f t="shared" si="10"/>
        <v>100</v>
      </c>
      <c r="V44" s="1560" t="s">
        <v>8</v>
      </c>
      <c r="W44" s="1561">
        <f t="shared" si="11"/>
        <v>100</v>
      </c>
      <c r="X44" s="1554"/>
      <c r="Y44" s="3414"/>
      <c r="Z44" s="1562" t="str">
        <f t="shared" si="12"/>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4"/>
      <c r="Q45" s="1147">
        <f t="shared" si="8"/>
        <v>111</v>
      </c>
      <c r="R45" s="1555" t="s">
        <v>8</v>
      </c>
      <c r="S45" s="1556">
        <f t="shared" si="9"/>
        <v>100</v>
      </c>
      <c r="T45" s="1555" t="s">
        <v>8</v>
      </c>
      <c r="U45" s="1556">
        <f t="shared" si="10"/>
        <v>100</v>
      </c>
      <c r="V45" s="1555" t="s">
        <v>8</v>
      </c>
      <c r="W45" s="1556">
        <f t="shared" si="11"/>
        <v>100</v>
      </c>
      <c r="X45" s="1557"/>
      <c r="Y45" s="3414"/>
      <c r="Z45" s="1146">
        <f t="shared" si="12"/>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4"/>
      <c r="Q46" s="1559">
        <f t="shared" si="8"/>
        <v>111</v>
      </c>
      <c r="R46" s="1560" t="s">
        <v>8</v>
      </c>
      <c r="S46" s="1561">
        <f t="shared" si="9"/>
        <v>100</v>
      </c>
      <c r="T46" s="1560" t="s">
        <v>8</v>
      </c>
      <c r="U46" s="1561">
        <f t="shared" si="10"/>
        <v>100</v>
      </c>
      <c r="V46" s="1560" t="s">
        <v>8</v>
      </c>
      <c r="W46" s="1561">
        <f t="shared" si="11"/>
        <v>100</v>
      </c>
      <c r="X46" s="1554"/>
      <c r="Y46" s="3414"/>
      <c r="Z46" s="1562">
        <f t="shared" si="12"/>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8"/>
      <c r="Q47" s="1559">
        <f t="shared" si="8"/>
        <v>111</v>
      </c>
      <c r="R47" s="1560" t="s">
        <v>8</v>
      </c>
      <c r="S47" s="1561">
        <f t="shared" si="9"/>
        <v>100</v>
      </c>
      <c r="T47" s="1560" t="s">
        <v>8</v>
      </c>
      <c r="U47" s="1561">
        <f t="shared" si="10"/>
        <v>100</v>
      </c>
      <c r="V47" s="1560" t="s">
        <v>8</v>
      </c>
      <c r="W47" s="1561">
        <f t="shared" si="11"/>
        <v>100</v>
      </c>
      <c r="X47" s="1554"/>
      <c r="Y47" s="3518"/>
      <c r="Z47" s="1562">
        <f t="shared" si="12"/>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432" t="str">
        <f>A48</f>
        <v>成交单价（元/平方米）</v>
      </c>
      <c r="Q48" s="3409"/>
      <c r="R48" s="3517">
        <f>E48</f>
        <v>0</v>
      </c>
      <c r="S48" s="3517"/>
      <c r="T48" s="3517">
        <f>G48</f>
        <v>0</v>
      </c>
      <c r="U48" s="3517"/>
      <c r="V48" s="3517">
        <f>I48</f>
        <v>0</v>
      </c>
      <c r="W48" s="3517"/>
      <c r="X48" s="1546"/>
      <c r="Y48" s="1568"/>
      <c r="Z48" s="1546"/>
      <c r="AA48" s="1546"/>
      <c r="AB48" s="1546"/>
      <c r="AC48" s="1546"/>
    </row>
    <row r="49" spans="1:29" ht="15.75" thickBot="1">
      <c r="A49" s="615" t="s">
        <v>2754</v>
      </c>
      <c r="B49" s="888"/>
      <c r="C49" s="2597" t="e">
        <f>R50</f>
        <v>#DIV/0!</v>
      </c>
      <c r="D49" s="2598"/>
      <c r="E49" s="2599" t="e">
        <f>R49</f>
        <v>#DIV/0!</v>
      </c>
      <c r="F49" s="2599"/>
      <c r="G49" s="2597" t="e">
        <f>T49</f>
        <v>#DIV/0!</v>
      </c>
      <c r="H49" s="2598"/>
      <c r="I49" s="2599" t="e">
        <f>V49</f>
        <v>#DIV/0!</v>
      </c>
      <c r="J49" s="2598"/>
      <c r="K49" s="1598"/>
      <c r="L49" s="2129"/>
      <c r="M49" s="2119"/>
      <c r="N49" s="2119"/>
      <c r="O49" s="2119"/>
      <c r="P49" s="3432" t="str">
        <f>A49</f>
        <v>比较价格（元/平方米）</v>
      </c>
      <c r="Q49" s="3409"/>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75" thickBot="1">
      <c r="A50" s="621" t="s">
        <v>2918</v>
      </c>
      <c r="B50" s="622"/>
      <c r="C50" s="2600" t="e">
        <f>R50</f>
        <v>#DIV/0!</v>
      </c>
      <c r="D50" s="2600"/>
      <c r="E50" s="2600"/>
      <c r="F50" s="2600"/>
      <c r="G50" s="2600"/>
      <c r="H50" s="2600"/>
      <c r="I50" s="2600"/>
      <c r="J50" s="2600"/>
      <c r="K50" s="1599"/>
      <c r="L50" s="2129"/>
      <c r="M50" s="2119"/>
      <c r="N50" s="2119"/>
      <c r="O50" s="2119"/>
      <c r="P50" s="3527" t="str">
        <f>A50</f>
        <v>估价对象XX用房的比较价格（楼面单价，元/平方米）</v>
      </c>
      <c r="Q50" s="3432"/>
      <c r="R50" s="3516" t="e">
        <f>IF(F1="售价",ROUND(AVERAGE(R49:V49),0),ROUND(AVERAGE(R49:V49),1))</f>
        <v>#DIV/0!</v>
      </c>
      <c r="S50" s="3516"/>
      <c r="T50" s="3516"/>
      <c r="U50" s="3516"/>
      <c r="V50" s="3516"/>
      <c r="W50" s="3516"/>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2020-3</v>
      </c>
      <c r="D59" s="2759">
        <f>EDATE(C59,-1)</f>
        <v>43862</v>
      </c>
      <c r="E59" s="2759">
        <f t="shared" ref="E59:O59" si="13">EDATE(D59,-1)</f>
        <v>43831</v>
      </c>
      <c r="F59" s="2759">
        <f t="shared" si="13"/>
        <v>43800</v>
      </c>
      <c r="G59" s="2759">
        <f t="shared" si="13"/>
        <v>43770</v>
      </c>
      <c r="H59" s="2759">
        <f t="shared" si="13"/>
        <v>43739</v>
      </c>
      <c r="I59" s="2759">
        <f t="shared" si="13"/>
        <v>43709</v>
      </c>
      <c r="J59" s="2759">
        <f t="shared" si="13"/>
        <v>43678</v>
      </c>
      <c r="K59" s="2759">
        <f t="shared" si="13"/>
        <v>43647</v>
      </c>
      <c r="L59" s="2759">
        <f t="shared" si="13"/>
        <v>43617</v>
      </c>
      <c r="M59" s="2759">
        <f t="shared" si="13"/>
        <v>43586</v>
      </c>
      <c r="N59" s="2759">
        <f t="shared" si="13"/>
        <v>43556</v>
      </c>
      <c r="O59" s="2759">
        <f t="shared" si="13"/>
        <v>43525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2553</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2554</v>
      </c>
      <c r="C83" s="2562" t="s">
        <v>2555</v>
      </c>
      <c r="D83" s="2562" t="s">
        <v>2556</v>
      </c>
      <c r="E83" s="2562" t="s">
        <v>2557</v>
      </c>
      <c r="F83" s="2562" t="s">
        <v>2558</v>
      </c>
      <c r="G83" s="2562" t="s">
        <v>2559</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2552</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415" t="s">
        <v>522</v>
      </c>
      <c r="D4" s="3416"/>
      <c r="E4" s="3440" t="s">
        <v>523</v>
      </c>
      <c r="F4" s="3441"/>
      <c r="G4" s="3415" t="s">
        <v>524</v>
      </c>
      <c r="H4" s="3416"/>
      <c r="I4" s="3415" t="s">
        <v>525</v>
      </c>
      <c r="J4" s="3416"/>
      <c r="K4" s="514" t="s">
        <v>526</v>
      </c>
      <c r="L4" s="2118"/>
      <c r="M4" s="2119"/>
      <c r="N4" s="2119"/>
      <c r="O4" s="2119"/>
      <c r="P4" s="3417" t="s">
        <v>527</v>
      </c>
      <c r="Q4" s="3418"/>
      <c r="R4" s="3403" t="s">
        <v>523</v>
      </c>
      <c r="S4" s="3404"/>
      <c r="T4" s="3403" t="s">
        <v>524</v>
      </c>
      <c r="U4" s="3404"/>
      <c r="V4" s="3423" t="s">
        <v>525</v>
      </c>
      <c r="W4" s="3423"/>
      <c r="X4" s="1554"/>
      <c r="Y4" s="3403" t="s">
        <v>527</v>
      </c>
      <c r="Z4" s="3404"/>
      <c r="AA4" s="3398" t="s">
        <v>523</v>
      </c>
      <c r="AB4" s="3399" t="s">
        <v>524</v>
      </c>
      <c r="AC4" s="3398" t="s">
        <v>525</v>
      </c>
    </row>
    <row r="5" spans="1:29" ht="15">
      <c r="A5" s="515"/>
      <c r="B5" s="516"/>
      <c r="C5" s="3444" t="s">
        <v>2912</v>
      </c>
      <c r="D5" s="3445"/>
      <c r="E5" s="3442" t="s">
        <v>2913</v>
      </c>
      <c r="F5" s="3443"/>
      <c r="G5" s="3444" t="s">
        <v>2914</v>
      </c>
      <c r="H5" s="3445"/>
      <c r="I5" s="3444" t="s">
        <v>2915</v>
      </c>
      <c r="J5" s="3445"/>
      <c r="K5" s="514"/>
      <c r="L5" s="2118"/>
      <c r="M5" s="2119"/>
      <c r="N5" s="2119"/>
      <c r="O5" s="2119"/>
      <c r="P5" s="3419"/>
      <c r="Q5" s="3420"/>
      <c r="R5" s="3405"/>
      <c r="S5" s="3406"/>
      <c r="T5" s="3405"/>
      <c r="U5" s="3406"/>
      <c r="V5" s="3423"/>
      <c r="W5" s="3423"/>
      <c r="X5" s="1554"/>
      <c r="Y5" s="3405"/>
      <c r="Z5" s="3406"/>
      <c r="AA5" s="3399"/>
      <c r="AB5" s="3399"/>
      <c r="AC5" s="3399"/>
    </row>
    <row r="6" spans="1:29" ht="15.75" thickBot="1">
      <c r="A6" s="517"/>
      <c r="B6" s="518"/>
      <c r="C6" s="3446" t="s">
        <v>2916</v>
      </c>
      <c r="D6" s="3447"/>
      <c r="E6" s="3448" t="s">
        <v>2916</v>
      </c>
      <c r="F6" s="3449"/>
      <c r="G6" s="3446" t="s">
        <v>2916</v>
      </c>
      <c r="H6" s="3447"/>
      <c r="I6" s="3446" t="s">
        <v>2916</v>
      </c>
      <c r="J6" s="3447"/>
      <c r="K6" s="514" t="s">
        <v>528</v>
      </c>
      <c r="L6" s="2118"/>
      <c r="M6" s="2119"/>
      <c r="N6" s="2119"/>
      <c r="O6" s="2119"/>
      <c r="P6" s="3421"/>
      <c r="Q6" s="3422"/>
      <c r="R6" s="3405"/>
      <c r="S6" s="3406"/>
      <c r="T6" s="3407"/>
      <c r="U6" s="3408"/>
      <c r="V6" s="3423"/>
      <c r="W6" s="3423"/>
      <c r="X6" s="1554"/>
      <c r="Y6" s="3407"/>
      <c r="Z6" s="3408"/>
      <c r="AA6" s="3400"/>
      <c r="AB6" s="3400"/>
      <c r="AC6" s="3400"/>
    </row>
    <row r="7" spans="1:29" s="1216" customFormat="1" ht="15.75" thickBot="1">
      <c r="A7" s="2867"/>
      <c r="B7" s="2874" t="s">
        <v>529</v>
      </c>
      <c r="C7" s="519">
        <f>'数据-取费表'!B2</f>
        <v>43910</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1" t="s">
        <v>530</v>
      </c>
      <c r="Q7" s="3410"/>
      <c r="R7" s="1555" t="s">
        <v>8</v>
      </c>
      <c r="S7" s="1556">
        <f t="shared" ref="S7:S15" si="0">F7</f>
        <v>0</v>
      </c>
      <c r="T7" s="1555" t="s">
        <v>8</v>
      </c>
      <c r="U7" s="1556">
        <f t="shared" ref="U7:U15" si="1">H7</f>
        <v>0</v>
      </c>
      <c r="V7" s="1555" t="s">
        <v>8</v>
      </c>
      <c r="W7" s="1556">
        <f t="shared" ref="W7:W15" si="2">J7</f>
        <v>0</v>
      </c>
      <c r="X7" s="1557"/>
      <c r="Y7" s="3401" t="s">
        <v>530</v>
      </c>
      <c r="Z7" s="3402"/>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1" t="s">
        <v>533</v>
      </c>
      <c r="Q8" s="3402"/>
      <c r="R8" s="1555" t="s">
        <v>8</v>
      </c>
      <c r="S8" s="1556">
        <f t="shared" si="0"/>
        <v>0</v>
      </c>
      <c r="T8" s="1555" t="s">
        <v>8</v>
      </c>
      <c r="U8" s="1556">
        <f t="shared" si="1"/>
        <v>0</v>
      </c>
      <c r="V8" s="1555" t="s">
        <v>8</v>
      </c>
      <c r="W8" s="1556">
        <f t="shared" si="2"/>
        <v>0</v>
      </c>
      <c r="X8" s="1557"/>
      <c r="Y8" s="3401" t="s">
        <v>533</v>
      </c>
      <c r="Z8" s="3402"/>
      <c r="AA8" s="1558" t="e">
        <f t="shared" ref="AA8:AA40" si="3">D8/F8</f>
        <v>#DIV/0!</v>
      </c>
      <c r="AB8" s="1558" t="e">
        <f t="shared" ref="AB8:AB40" si="4">D8/H8</f>
        <v>#DIV/0!</v>
      </c>
      <c r="AC8" s="1558" t="e">
        <f t="shared" ref="AC8:AC40" si="5">D8/J8</f>
        <v>#DIV/0!</v>
      </c>
    </row>
    <row r="9" spans="1:29" s="1216" customFormat="1" ht="15">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09" t="s">
        <v>535</v>
      </c>
      <c r="Q9" s="1147" t="str">
        <f t="shared" ref="Q9:Q15" si="6">B9</f>
        <v>用途</v>
      </c>
      <c r="R9" s="1555" t="s">
        <v>8</v>
      </c>
      <c r="S9" s="1556">
        <f t="shared" si="0"/>
        <v>100</v>
      </c>
      <c r="T9" s="1555" t="s">
        <v>8</v>
      </c>
      <c r="U9" s="1556">
        <f t="shared" si="1"/>
        <v>100</v>
      </c>
      <c r="V9" s="1555" t="s">
        <v>8</v>
      </c>
      <c r="W9" s="1556">
        <f t="shared" si="2"/>
        <v>100</v>
      </c>
      <c r="X9" s="1557"/>
      <c r="Y9" s="3366" t="s">
        <v>536</v>
      </c>
      <c r="Z9" s="1146" t="str">
        <f t="shared" ref="Z9:Z15" si="7">Q9</f>
        <v>用途</v>
      </c>
      <c r="AA9" s="1558">
        <f t="shared" si="3"/>
        <v>1</v>
      </c>
      <c r="AB9" s="1558">
        <f t="shared" si="4"/>
        <v>1</v>
      </c>
      <c r="AC9" s="1558">
        <f t="shared" si="5"/>
        <v>1</v>
      </c>
    </row>
    <row r="10" spans="1:29" s="1334" customFormat="1" ht="27">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09"/>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09"/>
      <c r="Q11" s="1147" t="str">
        <f t="shared" si="6"/>
        <v>容积率</v>
      </c>
      <c r="R11" s="1555" t="s">
        <v>8</v>
      </c>
      <c r="S11" s="1556" t="e">
        <f t="shared" si="0"/>
        <v>#N/A</v>
      </c>
      <c r="T11" s="1555" t="s">
        <v>8</v>
      </c>
      <c r="U11" s="1556" t="e">
        <f t="shared" si="1"/>
        <v>#N/A</v>
      </c>
      <c r="V11" s="1555" t="s">
        <v>8</v>
      </c>
      <c r="W11" s="1556" t="e">
        <f t="shared" si="2"/>
        <v>#N/A</v>
      </c>
      <c r="X11" s="1557"/>
      <c r="Y11" s="336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09"/>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09"/>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09"/>
      <c r="Q14" s="1147">
        <f t="shared" si="6"/>
        <v>111</v>
      </c>
      <c r="R14" s="1555" t="s">
        <v>8</v>
      </c>
      <c r="S14" s="1556">
        <f t="shared" si="0"/>
        <v>100</v>
      </c>
      <c r="T14" s="1555" t="s">
        <v>8</v>
      </c>
      <c r="U14" s="1556">
        <f t="shared" si="1"/>
        <v>100</v>
      </c>
      <c r="V14" s="1555" t="s">
        <v>8</v>
      </c>
      <c r="W14" s="1556">
        <f t="shared" si="2"/>
        <v>100</v>
      </c>
      <c r="X14" s="1557"/>
      <c r="Y14" s="3366"/>
      <c r="Z14" s="1146">
        <f t="shared" si="7"/>
        <v>111</v>
      </c>
      <c r="AA14" s="1558">
        <f t="shared" si="3"/>
        <v>1</v>
      </c>
      <c r="AB14" s="1558">
        <f t="shared" si="4"/>
        <v>1</v>
      </c>
      <c r="AC14" s="1558">
        <f t="shared" si="5"/>
        <v>1</v>
      </c>
    </row>
    <row r="15" spans="1:29" ht="15">
      <c r="A15" s="2865" t="s">
        <v>2748</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11" t="s">
        <v>540</v>
      </c>
      <c r="Q15" s="1559" t="str">
        <f t="shared" si="6"/>
        <v>产业集聚程度</v>
      </c>
      <c r="R15" s="1560" t="s">
        <v>8</v>
      </c>
      <c r="S15" s="1561">
        <f t="shared" si="0"/>
        <v>100</v>
      </c>
      <c r="T15" s="1560" t="s">
        <v>8</v>
      </c>
      <c r="U15" s="1561">
        <f t="shared" si="1"/>
        <v>100</v>
      </c>
      <c r="V15" s="1560" t="s">
        <v>8</v>
      </c>
      <c r="W15" s="1561">
        <f t="shared" si="2"/>
        <v>100</v>
      </c>
      <c r="X15" s="1554"/>
      <c r="Y15" s="3411"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2"/>
      <c r="Q16" s="1559"/>
      <c r="R16" s="1560"/>
      <c r="S16" s="1561"/>
      <c r="T16" s="1560"/>
      <c r="U16" s="1561"/>
      <c r="V16" s="1560"/>
      <c r="W16" s="1561"/>
      <c r="X16" s="1554"/>
      <c r="Y16" s="3412"/>
      <c r="Z16" s="1562"/>
      <c r="AA16" s="1563">
        <v>1</v>
      </c>
      <c r="AB16" s="1563">
        <v>1</v>
      </c>
      <c r="AC16" s="1563">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2"/>
      <c r="Q17" s="1559" t="str">
        <f>B17</f>
        <v>交通便捷度</v>
      </c>
      <c r="R17" s="1560" t="s">
        <v>8</v>
      </c>
      <c r="S17" s="1561">
        <f>F17</f>
        <v>100</v>
      </c>
      <c r="T17" s="1560" t="s">
        <v>8</v>
      </c>
      <c r="U17" s="1561">
        <f>H17</f>
        <v>100</v>
      </c>
      <c r="V17" s="1560" t="s">
        <v>8</v>
      </c>
      <c r="W17" s="1561">
        <f>J17</f>
        <v>100</v>
      </c>
      <c r="X17" s="1554"/>
      <c r="Y17" s="341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2"/>
      <c r="Q18" s="1559"/>
      <c r="R18" s="1560"/>
      <c r="S18" s="1561"/>
      <c r="T18" s="1560"/>
      <c r="U18" s="1561"/>
      <c r="V18" s="1560"/>
      <c r="W18" s="1561"/>
      <c r="X18" s="1554"/>
      <c r="Y18" s="3412"/>
      <c r="Z18" s="1562"/>
      <c r="AA18" s="1563">
        <v>1</v>
      </c>
      <c r="AB18" s="1563">
        <v>1</v>
      </c>
      <c r="AC18" s="1563">
        <v>1</v>
      </c>
    </row>
    <row r="19" spans="1:29" ht="15">
      <c r="A19" s="532"/>
      <c r="B19" s="2567" t="s">
        <v>2542</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2"/>
      <c r="Q19" s="1559" t="str">
        <f>B19</f>
        <v>公共配套设施</v>
      </c>
      <c r="R19" s="1560" t="s">
        <v>8</v>
      </c>
      <c r="S19" s="1561">
        <f>F19</f>
        <v>100</v>
      </c>
      <c r="T19" s="1560" t="s">
        <v>8</v>
      </c>
      <c r="U19" s="1561">
        <f>H19</f>
        <v>100</v>
      </c>
      <c r="V19" s="1560" t="s">
        <v>8</v>
      </c>
      <c r="W19" s="1561">
        <f>J19</f>
        <v>100</v>
      </c>
      <c r="X19" s="1554"/>
      <c r="Y19" s="341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12"/>
      <c r="Q20" s="1559"/>
      <c r="R20" s="1560"/>
      <c r="S20" s="1561"/>
      <c r="T20" s="1560"/>
      <c r="U20" s="1561"/>
      <c r="V20" s="1560"/>
      <c r="W20" s="1561"/>
      <c r="X20" s="1554"/>
      <c r="Y20" s="3412"/>
      <c r="Z20" s="1562"/>
      <c r="AA20" s="1563">
        <v>1</v>
      </c>
      <c r="AB20" s="1563">
        <v>1</v>
      </c>
      <c r="AC20" s="1563">
        <v>1</v>
      </c>
    </row>
    <row r="21" spans="1:29" ht="15">
      <c r="A21" s="532"/>
      <c r="B21" s="2555" t="s">
        <v>2554</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2"/>
      <c r="Q21" s="2543" t="str">
        <f>B21</f>
        <v>基础设施水平</v>
      </c>
      <c r="R21" s="1560" t="s">
        <v>8</v>
      </c>
      <c r="S21" s="1561">
        <f>F21</f>
        <v>100</v>
      </c>
      <c r="T21" s="1560" t="s">
        <v>8</v>
      </c>
      <c r="U21" s="1561">
        <f>H21</f>
        <v>100</v>
      </c>
      <c r="V21" s="1560" t="s">
        <v>8</v>
      </c>
      <c r="W21" s="1561">
        <f>J21</f>
        <v>100</v>
      </c>
      <c r="X21" s="2545"/>
      <c r="Y21" s="3412"/>
      <c r="Z21" s="2544" t="str">
        <f>Q21</f>
        <v>基础设施水平</v>
      </c>
      <c r="AA21" s="1563">
        <f>D21/F21</f>
        <v>1</v>
      </c>
      <c r="AB21" s="1563">
        <f>D21/H21</f>
        <v>1</v>
      </c>
      <c r="AC21" s="1563">
        <f>D21/J21</f>
        <v>1</v>
      </c>
    </row>
    <row r="22" spans="1:29" ht="15">
      <c r="A22" s="532"/>
      <c r="B22" s="578"/>
      <c r="C22" s="873"/>
      <c r="D22" s="555"/>
      <c r="E22" s="576"/>
      <c r="F22" s="557"/>
      <c r="G22" s="576"/>
      <c r="H22" s="555"/>
      <c r="I22" s="576"/>
      <c r="J22" s="555"/>
      <c r="K22" s="2566"/>
      <c r="L22" s="2127"/>
      <c r="M22" s="2119"/>
      <c r="N22" s="2119"/>
      <c r="O22" s="2126"/>
      <c r="P22" s="3412"/>
      <c r="Q22" s="2543"/>
      <c r="R22" s="1560"/>
      <c r="S22" s="1561"/>
      <c r="T22" s="1560"/>
      <c r="U22" s="1561"/>
      <c r="V22" s="1560"/>
      <c r="W22" s="1561"/>
      <c r="X22" s="2545"/>
      <c r="Y22" s="3412"/>
      <c r="Z22" s="2544"/>
      <c r="AA22" s="1563">
        <v>1</v>
      </c>
      <c r="AB22" s="1563">
        <v>1</v>
      </c>
      <c r="AC22" s="1563">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2"/>
      <c r="Q23" s="1559" t="str">
        <f>B23</f>
        <v>环境质量</v>
      </c>
      <c r="R23" s="1560" t="s">
        <v>8</v>
      </c>
      <c r="S23" s="1561">
        <f>F23</f>
        <v>100</v>
      </c>
      <c r="T23" s="1560" t="s">
        <v>8</v>
      </c>
      <c r="U23" s="1561">
        <f>H23</f>
        <v>100</v>
      </c>
      <c r="V23" s="1560" t="s">
        <v>8</v>
      </c>
      <c r="W23" s="1561">
        <f>J23</f>
        <v>100</v>
      </c>
      <c r="X23" s="1554"/>
      <c r="Y23" s="341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12"/>
      <c r="Q24" s="1559"/>
      <c r="R24" s="1560"/>
      <c r="S24" s="1561"/>
      <c r="T24" s="1560"/>
      <c r="U24" s="1561"/>
      <c r="V24" s="1560"/>
      <c r="W24" s="1561"/>
      <c r="X24" s="1554"/>
      <c r="Y24" s="341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2"/>
      <c r="Q25" s="1559">
        <f>B25</f>
        <v>111</v>
      </c>
      <c r="R25" s="1560" t="s">
        <v>8</v>
      </c>
      <c r="S25" s="1561">
        <f>F25</f>
        <v>100</v>
      </c>
      <c r="T25" s="1560" t="s">
        <v>8</v>
      </c>
      <c r="U25" s="1561">
        <f>H25</f>
        <v>100</v>
      </c>
      <c r="V25" s="1560" t="s">
        <v>8</v>
      </c>
      <c r="W25" s="1561">
        <f>J25</f>
        <v>100</v>
      </c>
      <c r="X25" s="1554"/>
      <c r="Y25" s="341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2"/>
      <c r="Q26" s="1559">
        <f t="shared" ref="Q26:Q40" si="8">B26</f>
        <v>111</v>
      </c>
      <c r="R26" s="1560" t="s">
        <v>8</v>
      </c>
      <c r="S26" s="1561">
        <f>F26</f>
        <v>100</v>
      </c>
      <c r="T26" s="1560" t="s">
        <v>8</v>
      </c>
      <c r="U26" s="1561">
        <f>H26</f>
        <v>100</v>
      </c>
      <c r="V26" s="1560" t="s">
        <v>8</v>
      </c>
      <c r="W26" s="1561">
        <f>J26</f>
        <v>100</v>
      </c>
      <c r="X26" s="1554"/>
      <c r="Y26" s="341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2"/>
      <c r="Q27" s="1147">
        <f t="shared" si="8"/>
        <v>111</v>
      </c>
      <c r="R27" s="1555" t="s">
        <v>8</v>
      </c>
      <c r="S27" s="1556">
        <f>F27</f>
        <v>100</v>
      </c>
      <c r="T27" s="1555" t="s">
        <v>8</v>
      </c>
      <c r="U27" s="1556">
        <f>H27</f>
        <v>100</v>
      </c>
      <c r="V27" s="1555" t="s">
        <v>8</v>
      </c>
      <c r="W27" s="1556">
        <f>J27</f>
        <v>100</v>
      </c>
      <c r="X27" s="1557"/>
      <c r="Y27" s="341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2"/>
      <c r="Q28" s="1559">
        <f t="shared" si="8"/>
        <v>111</v>
      </c>
      <c r="R28" s="1560" t="s">
        <v>8</v>
      </c>
      <c r="S28" s="1561">
        <f t="shared" ref="S28:S40" si="9">F28</f>
        <v>100</v>
      </c>
      <c r="T28" s="1560" t="s">
        <v>8</v>
      </c>
      <c r="U28" s="1561">
        <f t="shared" ref="U28:U40" si="10">H28</f>
        <v>100</v>
      </c>
      <c r="V28" s="1560" t="s">
        <v>8</v>
      </c>
      <c r="W28" s="1561">
        <f t="shared" ref="W28:W40" si="11">J28</f>
        <v>100</v>
      </c>
      <c r="X28" s="1554"/>
      <c r="Y28" s="3412"/>
      <c r="Z28" s="1562">
        <f t="shared" ref="Z28:Z40" si="12">Q28</f>
        <v>111</v>
      </c>
      <c r="AA28" s="1563">
        <f t="shared" si="3"/>
        <v>1</v>
      </c>
      <c r="AB28" s="1563">
        <f t="shared" si="4"/>
        <v>1</v>
      </c>
      <c r="AC28" s="1563">
        <f t="shared" si="5"/>
        <v>1</v>
      </c>
    </row>
    <row r="29" spans="1:29" ht="15">
      <c r="A29" s="2862"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3" t="s">
        <v>550</v>
      </c>
      <c r="Q29" s="1559" t="str">
        <f t="shared" si="8"/>
        <v>建筑类型</v>
      </c>
      <c r="R29" s="1560" t="s">
        <v>8</v>
      </c>
      <c r="S29" s="1561">
        <f t="shared" si="9"/>
        <v>100</v>
      </c>
      <c r="T29" s="1560" t="s">
        <v>8</v>
      </c>
      <c r="U29" s="1561">
        <f t="shared" si="10"/>
        <v>100</v>
      </c>
      <c r="V29" s="1560" t="s">
        <v>8</v>
      </c>
      <c r="W29" s="1561">
        <f t="shared" si="11"/>
        <v>100</v>
      </c>
      <c r="X29" s="1554"/>
      <c r="Y29" s="3414" t="s">
        <v>550</v>
      </c>
      <c r="Z29" s="1562" t="str">
        <f t="shared" si="12"/>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4"/>
      <c r="Q30" s="1591" t="str">
        <f t="shared" si="8"/>
        <v>项目建筑规模</v>
      </c>
      <c r="R30" s="1564" t="s">
        <v>8</v>
      </c>
      <c r="S30" s="1565" t="e">
        <f t="shared" si="9"/>
        <v>#N/A</v>
      </c>
      <c r="T30" s="1564" t="s">
        <v>8</v>
      </c>
      <c r="U30" s="1565" t="e">
        <f t="shared" si="10"/>
        <v>#N/A</v>
      </c>
      <c r="V30" s="1564" t="s">
        <v>8</v>
      </c>
      <c r="W30" s="1565" t="e">
        <f t="shared" si="11"/>
        <v>#N/A</v>
      </c>
      <c r="X30" s="1566"/>
      <c r="Y30" s="3414"/>
      <c r="Z30" s="1567" t="str">
        <f t="shared" si="12"/>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4"/>
      <c r="Q31" s="1559" t="str">
        <f t="shared" si="8"/>
        <v>建筑结构</v>
      </c>
      <c r="R31" s="1560" t="s">
        <v>8</v>
      </c>
      <c r="S31" s="1561">
        <f t="shared" si="9"/>
        <v>100</v>
      </c>
      <c r="T31" s="1560" t="s">
        <v>8</v>
      </c>
      <c r="U31" s="1561">
        <f t="shared" si="10"/>
        <v>100</v>
      </c>
      <c r="V31" s="1560" t="s">
        <v>8</v>
      </c>
      <c r="W31" s="1561">
        <f t="shared" si="11"/>
        <v>100</v>
      </c>
      <c r="X31" s="1554"/>
      <c r="Y31" s="3414"/>
      <c r="Z31" s="1562" t="str">
        <f t="shared" si="12"/>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4"/>
      <c r="Q32" s="1559" t="str">
        <f t="shared" si="8"/>
        <v>公共部分装修</v>
      </c>
      <c r="R32" s="1560" t="s">
        <v>8</v>
      </c>
      <c r="S32" s="1561">
        <f t="shared" si="9"/>
        <v>100</v>
      </c>
      <c r="T32" s="1560" t="s">
        <v>8</v>
      </c>
      <c r="U32" s="1561">
        <f t="shared" si="10"/>
        <v>100</v>
      </c>
      <c r="V32" s="1560" t="s">
        <v>8</v>
      </c>
      <c r="W32" s="1561">
        <f t="shared" si="11"/>
        <v>100</v>
      </c>
      <c r="X32" s="1554"/>
      <c r="Y32" s="3414"/>
      <c r="Z32" s="1562" t="str">
        <f t="shared" si="12"/>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4"/>
      <c r="Q33" s="1559" t="str">
        <f t="shared" si="8"/>
        <v>成新度</v>
      </c>
      <c r="R33" s="1560" t="s">
        <v>8</v>
      </c>
      <c r="S33" s="1561" t="e">
        <f t="shared" si="9"/>
        <v>#N/A</v>
      </c>
      <c r="T33" s="1560" t="s">
        <v>8</v>
      </c>
      <c r="U33" s="1561" t="e">
        <f t="shared" si="10"/>
        <v>#N/A</v>
      </c>
      <c r="V33" s="1560" t="s">
        <v>8</v>
      </c>
      <c r="W33" s="1561" t="e">
        <f t="shared" si="11"/>
        <v>#N/A</v>
      </c>
      <c r="X33" s="1554"/>
      <c r="Y33" s="3414"/>
      <c r="Z33" s="1562" t="str">
        <f t="shared" si="12"/>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4"/>
      <c r="Q34" s="1147" t="str">
        <f t="shared" si="8"/>
        <v>物业管理</v>
      </c>
      <c r="R34" s="1555" t="s">
        <v>8</v>
      </c>
      <c r="S34" s="1556">
        <f t="shared" si="9"/>
        <v>100</v>
      </c>
      <c r="T34" s="1555" t="s">
        <v>8</v>
      </c>
      <c r="U34" s="1556">
        <f t="shared" si="10"/>
        <v>100</v>
      </c>
      <c r="V34" s="1555" t="s">
        <v>8</v>
      </c>
      <c r="W34" s="1556">
        <f t="shared" si="11"/>
        <v>100</v>
      </c>
      <c r="X34" s="1557"/>
      <c r="Y34" s="3414"/>
      <c r="Z34" s="1146" t="str">
        <f t="shared" si="12"/>
        <v>物业管理</v>
      </c>
      <c r="AA34" s="1558">
        <f t="shared" si="3"/>
        <v>1</v>
      </c>
      <c r="AB34" s="1558">
        <f t="shared" si="4"/>
        <v>1</v>
      </c>
      <c r="AC34" s="1558">
        <f t="shared" si="5"/>
        <v>1</v>
      </c>
    </row>
    <row r="35" spans="1:29" ht="15">
      <c r="A35" s="594"/>
      <c r="B35" s="1880"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4" t="s">
        <v>550</v>
      </c>
      <c r="Q35" s="1559" t="str">
        <f t="shared" si="8"/>
        <v>市政基础设施</v>
      </c>
      <c r="R35" s="1560" t="s">
        <v>8</v>
      </c>
      <c r="S35" s="1561">
        <f t="shared" si="9"/>
        <v>100</v>
      </c>
      <c r="T35" s="1560" t="s">
        <v>8</v>
      </c>
      <c r="U35" s="1561">
        <f t="shared" si="10"/>
        <v>100</v>
      </c>
      <c r="V35" s="1560" t="s">
        <v>8</v>
      </c>
      <c r="W35" s="1561">
        <f t="shared" si="11"/>
        <v>100</v>
      </c>
      <c r="X35" s="1554"/>
      <c r="Y35" s="3414" t="s">
        <v>550</v>
      </c>
      <c r="Z35" s="1562" t="str">
        <f t="shared" si="12"/>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4"/>
      <c r="Q36" s="1559" t="str">
        <f t="shared" si="8"/>
        <v>内部装修</v>
      </c>
      <c r="R36" s="1560" t="s">
        <v>8</v>
      </c>
      <c r="S36" s="1561">
        <f t="shared" si="9"/>
        <v>100</v>
      </c>
      <c r="T36" s="1560" t="s">
        <v>8</v>
      </c>
      <c r="U36" s="1561">
        <f t="shared" si="10"/>
        <v>100</v>
      </c>
      <c r="V36" s="1560" t="s">
        <v>8</v>
      </c>
      <c r="W36" s="1561">
        <f t="shared" si="11"/>
        <v>100</v>
      </c>
      <c r="X36" s="1554"/>
      <c r="Y36" s="3414"/>
      <c r="Z36" s="1562" t="str">
        <f t="shared" si="12"/>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4"/>
      <c r="Q37" s="1559" t="str">
        <f t="shared" si="8"/>
        <v>内部装修状况</v>
      </c>
      <c r="R37" s="1560" t="s">
        <v>8</v>
      </c>
      <c r="S37" s="1561">
        <f t="shared" si="9"/>
        <v>100</v>
      </c>
      <c r="T37" s="1560" t="s">
        <v>8</v>
      </c>
      <c r="U37" s="1561">
        <f t="shared" si="10"/>
        <v>100</v>
      </c>
      <c r="V37" s="1560" t="s">
        <v>8</v>
      </c>
      <c r="W37" s="1561">
        <f t="shared" si="11"/>
        <v>100</v>
      </c>
      <c r="X37" s="1554"/>
      <c r="Y37" s="3414"/>
      <c r="Z37" s="1562" t="str">
        <f t="shared" si="12"/>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4"/>
      <c r="Q38" s="1591">
        <f t="shared" si="8"/>
        <v>111</v>
      </c>
      <c r="R38" s="1564" t="s">
        <v>8</v>
      </c>
      <c r="S38" s="1565">
        <f t="shared" si="9"/>
        <v>100</v>
      </c>
      <c r="T38" s="1564" t="s">
        <v>8</v>
      </c>
      <c r="U38" s="1565">
        <f t="shared" si="10"/>
        <v>100</v>
      </c>
      <c r="V38" s="1564" t="s">
        <v>8</v>
      </c>
      <c r="W38" s="1565">
        <f t="shared" si="11"/>
        <v>100</v>
      </c>
      <c r="X38" s="1566"/>
      <c r="Y38" s="3414"/>
      <c r="Z38" s="1567">
        <f t="shared" si="12"/>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4"/>
      <c r="Q39" s="1559">
        <f t="shared" si="8"/>
        <v>111</v>
      </c>
      <c r="R39" s="1560" t="s">
        <v>8</v>
      </c>
      <c r="S39" s="1561">
        <f t="shared" si="9"/>
        <v>100</v>
      </c>
      <c r="T39" s="1560" t="s">
        <v>8</v>
      </c>
      <c r="U39" s="1561">
        <f t="shared" si="10"/>
        <v>100</v>
      </c>
      <c r="V39" s="1560" t="s">
        <v>8</v>
      </c>
      <c r="W39" s="1561">
        <f t="shared" si="11"/>
        <v>100</v>
      </c>
      <c r="X39" s="1554"/>
      <c r="Y39" s="3414"/>
      <c r="Z39" s="1562">
        <f t="shared" si="12"/>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18"/>
      <c r="Q40" s="1559">
        <f t="shared" si="8"/>
        <v>111</v>
      </c>
      <c r="R40" s="1560" t="s">
        <v>8</v>
      </c>
      <c r="S40" s="1561">
        <f t="shared" si="9"/>
        <v>100</v>
      </c>
      <c r="T40" s="1560" t="s">
        <v>8</v>
      </c>
      <c r="U40" s="1561">
        <f t="shared" si="10"/>
        <v>100</v>
      </c>
      <c r="V40" s="1560" t="s">
        <v>8</v>
      </c>
      <c r="W40" s="1561">
        <f t="shared" si="11"/>
        <v>100</v>
      </c>
      <c r="X40" s="1554"/>
      <c r="Y40" s="3518"/>
      <c r="Z40" s="1562">
        <f t="shared" si="12"/>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409" t="str">
        <f>A41</f>
        <v>成交单价（元/平方米）</v>
      </c>
      <c r="Q41" s="3409"/>
      <c r="R41" s="3517">
        <f>E41</f>
        <v>0</v>
      </c>
      <c r="S41" s="3517"/>
      <c r="T41" s="3517">
        <f>G41</f>
        <v>0</v>
      </c>
      <c r="U41" s="3517"/>
      <c r="V41" s="3517">
        <f>I41</f>
        <v>0</v>
      </c>
      <c r="W41" s="3517"/>
      <c r="X41" s="1546"/>
      <c r="Y41" s="1568"/>
      <c r="Z41" s="1546"/>
      <c r="AA41" s="1546"/>
      <c r="AB41" s="1546"/>
      <c r="AC41" s="1546"/>
    </row>
    <row r="42" spans="1:29" ht="15.75" thickBot="1">
      <c r="A42" s="615" t="s">
        <v>2754</v>
      </c>
      <c r="B42" s="888"/>
      <c r="C42" s="2597" t="e">
        <f>R43</f>
        <v>#DIV/0!</v>
      </c>
      <c r="D42" s="2598"/>
      <c r="E42" s="2599" t="e">
        <f>R42</f>
        <v>#DIV/0!</v>
      </c>
      <c r="F42" s="2599"/>
      <c r="G42" s="2597" t="e">
        <f>T42</f>
        <v>#DIV/0!</v>
      </c>
      <c r="H42" s="2598"/>
      <c r="I42" s="2599" t="e">
        <f>V42</f>
        <v>#DIV/0!</v>
      </c>
      <c r="J42" s="2598"/>
      <c r="K42" s="1598"/>
      <c r="L42" s="2129"/>
      <c r="M42" s="2130"/>
      <c r="N42" s="2119"/>
      <c r="O42" s="2130"/>
      <c r="P42" s="3409" t="str">
        <f>A42</f>
        <v>比较价格（元/平方米）</v>
      </c>
      <c r="Q42" s="3409"/>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75" thickBot="1">
      <c r="A43" s="621" t="s">
        <v>2918</v>
      </c>
      <c r="B43" s="622"/>
      <c r="C43" s="2600" t="e">
        <f>R43</f>
        <v>#DIV/0!</v>
      </c>
      <c r="D43" s="2600"/>
      <c r="E43" s="2600"/>
      <c r="F43" s="2600"/>
      <c r="G43" s="2600"/>
      <c r="H43" s="2600"/>
      <c r="I43" s="2600"/>
      <c r="J43" s="2600"/>
      <c r="K43" s="1599"/>
      <c r="L43" s="2129"/>
      <c r="M43" s="2130"/>
      <c r="N43" s="2130"/>
      <c r="O43" s="2130"/>
      <c r="P43" s="3431" t="str">
        <f>A43</f>
        <v>估价对象XX用房的比较价格（楼面单价，元/平方米）</v>
      </c>
      <c r="Q43" s="3432"/>
      <c r="R43" s="3516" t="e">
        <f>IF(F1="售价",ROUND(AVERAGE(R42:V42),0),ROUND(AVERAGE(R42:V42),1))</f>
        <v>#DIV/0!</v>
      </c>
      <c r="S43" s="3516"/>
      <c r="T43" s="3516"/>
      <c r="U43" s="3516"/>
      <c r="V43" s="3516"/>
      <c r="W43" s="3516"/>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2020-3</v>
      </c>
      <c r="D52" s="2759">
        <f>EDATE(C52,-1)</f>
        <v>43862</v>
      </c>
      <c r="E52" s="2759">
        <f t="shared" ref="E52:O52" si="13">EDATE(D52,-1)</f>
        <v>43831</v>
      </c>
      <c r="F52" s="2759">
        <f t="shared" si="13"/>
        <v>43800</v>
      </c>
      <c r="G52" s="2759">
        <f t="shared" si="13"/>
        <v>43770</v>
      </c>
      <c r="H52" s="2759">
        <f t="shared" si="13"/>
        <v>43739</v>
      </c>
      <c r="I52" s="2759">
        <f t="shared" si="13"/>
        <v>43709</v>
      </c>
      <c r="J52" s="2759">
        <f t="shared" si="13"/>
        <v>43678</v>
      </c>
      <c r="K52" s="2759">
        <f t="shared" si="13"/>
        <v>43647</v>
      </c>
      <c r="L52" s="2759">
        <f t="shared" si="13"/>
        <v>43617</v>
      </c>
      <c r="M52" s="2759">
        <f t="shared" si="13"/>
        <v>43586</v>
      </c>
      <c r="N52" s="2759">
        <f t="shared" si="13"/>
        <v>43556</v>
      </c>
      <c r="O52" s="2759">
        <f t="shared" si="13"/>
        <v>43525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2553</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2554</v>
      </c>
      <c r="C76" s="2562" t="s">
        <v>2555</v>
      </c>
      <c r="D76" s="2562" t="s">
        <v>2556</v>
      </c>
      <c r="E76" s="2562" t="s">
        <v>2557</v>
      </c>
      <c r="F76" s="2562" t="s">
        <v>2558</v>
      </c>
      <c r="G76" s="2562" t="s">
        <v>2559</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2552</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受贵公司委托，我公司对北京市北京市丰台区南苑石榴庄0517-L02地块F1住宅混合公建用地出让国有建设用地使用权抵押价格进行了预评估。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丰台区南苑石榴庄0517-L02地块F1住宅混合公建用地出让国有建设用地使用权。根据《不动产权证书》[京（2020）丰不动产权第0002545号]，估价对象（分摊）出让国有建设用地使用权面积为21023.4平方米。根据《国有建设用地使用权出让合同》[电子监管号：1101002019B02868]及附件，估价对象规划建筑面积为63070平方米。</v>
      </c>
    </row>
    <row r="7" spans="1:4" ht="93.75">
      <c r="A7" s="2828" t="s">
        <v>2742</v>
      </c>
    </row>
    <row r="8" spans="1:4" ht="18.75">
      <c r="A8" s="1779" t="s">
        <v>1906</v>
      </c>
    </row>
    <row r="9" spans="1:4" ht="75">
      <c r="A9" s="1781" t="str">
        <f>IF(项目基本情况!B8="抵押",IF(项目基本情况!B5=项目基本情况!B6,定义!C51,定义!B51),定义!D51)</f>
        <v>拟使用北京市北京市丰台区南苑石榴庄0517-L02地块F1住宅混合公建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2020年3月20日（评估专业人员勘察现场之日）</v>
      </c>
    </row>
    <row r="12" spans="1:4" ht="18.75">
      <c r="A12" s="1782" t="s">
        <v>2021</v>
      </c>
    </row>
    <row r="13" spans="1:4" ht="18.75">
      <c r="A13" s="1776" t="s">
        <v>2067</v>
      </c>
    </row>
    <row r="14" spans="1:4" ht="37.5">
      <c r="A14" s="1776" t="str">
        <f>"根据"&amp;项目基本情况!F12&amp;"，本次评估估价对象证载（地类）用途为"&amp;项目基本情况!B12&amp;"。"</f>
        <v>根据《不动产权证书》[京（2020）丰不动产权第0002545号]，本次评估估价对象证载（地类）用途为。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丰不动产权第0002545号]，估价对象（分摊）出让国有建设用地使用权面积为21023.4平方米。根据《国有建设用地使用权出让合同》[电子监管号：1101002019B02868]及附件，估价对象规划建筑面积为63070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2743</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2020年3月20日，在规划利用条件下、设定土地开发程度为红线外“七通”、宗地内场地平整，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15" t="s">
        <v>798</v>
      </c>
      <c r="D4" s="3416"/>
      <c r="E4" s="3415" t="s">
        <v>799</v>
      </c>
      <c r="F4" s="3416"/>
      <c r="G4" s="3415" t="s">
        <v>800</v>
      </c>
      <c r="H4" s="3416"/>
      <c r="I4" s="3415" t="s">
        <v>801</v>
      </c>
      <c r="J4" s="3416"/>
      <c r="K4" s="514" t="s">
        <v>802</v>
      </c>
      <c r="L4" s="2118"/>
      <c r="M4" s="2119"/>
      <c r="N4" s="2119"/>
      <c r="O4" s="2119"/>
      <c r="P4" s="3417" t="s">
        <v>803</v>
      </c>
      <c r="Q4" s="3418"/>
      <c r="R4" s="3403" t="s">
        <v>799</v>
      </c>
      <c r="S4" s="3404"/>
      <c r="T4" s="3403" t="s">
        <v>800</v>
      </c>
      <c r="U4" s="3404"/>
      <c r="V4" s="3423" t="s">
        <v>801</v>
      </c>
      <c r="W4" s="3423"/>
      <c r="X4" s="1554"/>
      <c r="Y4" s="3403" t="s">
        <v>803</v>
      </c>
      <c r="Z4" s="3404"/>
      <c r="AA4" s="3398" t="s">
        <v>799</v>
      </c>
      <c r="AB4" s="3399" t="s">
        <v>800</v>
      </c>
      <c r="AC4" s="3398" t="s">
        <v>801</v>
      </c>
    </row>
    <row r="5" spans="1:29" ht="15">
      <c r="A5" s="515"/>
      <c r="B5" s="516"/>
      <c r="C5" s="3444" t="s">
        <v>2912</v>
      </c>
      <c r="D5" s="3445"/>
      <c r="E5" s="3444" t="s">
        <v>2913</v>
      </c>
      <c r="F5" s="3445"/>
      <c r="G5" s="3444" t="s">
        <v>2914</v>
      </c>
      <c r="H5" s="3445"/>
      <c r="I5" s="3444" t="s">
        <v>2915</v>
      </c>
      <c r="J5" s="3445"/>
      <c r="K5" s="514"/>
      <c r="L5" s="2118"/>
      <c r="M5" s="2119"/>
      <c r="N5" s="2119"/>
      <c r="O5" s="2119"/>
      <c r="P5" s="3419"/>
      <c r="Q5" s="3420"/>
      <c r="R5" s="3405"/>
      <c r="S5" s="3406"/>
      <c r="T5" s="3405"/>
      <c r="U5" s="3406"/>
      <c r="V5" s="3423"/>
      <c r="W5" s="3423"/>
      <c r="X5" s="1554"/>
      <c r="Y5" s="3405"/>
      <c r="Z5" s="3406"/>
      <c r="AA5" s="3399"/>
      <c r="AB5" s="3399"/>
      <c r="AC5" s="3399"/>
    </row>
    <row r="6" spans="1:29" ht="15.75" thickBot="1">
      <c r="A6" s="517"/>
      <c r="B6" s="518"/>
      <c r="C6" s="3446" t="s">
        <v>2916</v>
      </c>
      <c r="D6" s="3447"/>
      <c r="E6" s="3528" t="s">
        <v>2916</v>
      </c>
      <c r="F6" s="3529"/>
      <c r="G6" s="3446" t="s">
        <v>2916</v>
      </c>
      <c r="H6" s="3447"/>
      <c r="I6" s="3446" t="s">
        <v>2916</v>
      </c>
      <c r="J6" s="3447"/>
      <c r="K6" s="514" t="s">
        <v>528</v>
      </c>
      <c r="L6" s="2118"/>
      <c r="M6" s="2119"/>
      <c r="N6" s="2119"/>
      <c r="O6" s="2119"/>
      <c r="P6" s="3421"/>
      <c r="Q6" s="3422"/>
      <c r="R6" s="3405"/>
      <c r="S6" s="3406"/>
      <c r="T6" s="3407"/>
      <c r="U6" s="3408"/>
      <c r="V6" s="3423"/>
      <c r="W6" s="3423"/>
      <c r="X6" s="1554"/>
      <c r="Y6" s="3407"/>
      <c r="Z6" s="3408"/>
      <c r="AA6" s="3400"/>
      <c r="AB6" s="3400"/>
      <c r="AC6" s="3400"/>
    </row>
    <row r="7" spans="1:29" s="1216" customFormat="1" ht="15.75" thickBot="1">
      <c r="A7" s="2867"/>
      <c r="B7" s="2874" t="s">
        <v>529</v>
      </c>
      <c r="C7" s="519">
        <f>'数据-取费表'!B2</f>
        <v>43910</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1" t="s">
        <v>530</v>
      </c>
      <c r="Q7" s="3410"/>
      <c r="R7" s="1555" t="s">
        <v>8</v>
      </c>
      <c r="S7" s="1556">
        <f t="shared" ref="S7:S14" si="0">F7</f>
        <v>0</v>
      </c>
      <c r="T7" s="1555" t="s">
        <v>8</v>
      </c>
      <c r="U7" s="1556">
        <f t="shared" ref="U7:U14" si="1">H7</f>
        <v>0</v>
      </c>
      <c r="V7" s="1555" t="s">
        <v>8</v>
      </c>
      <c r="W7" s="1556">
        <f t="shared" ref="W7:W14" si="2">J7</f>
        <v>0</v>
      </c>
      <c r="X7" s="1557"/>
      <c r="Y7" s="3401" t="s">
        <v>530</v>
      </c>
      <c r="Z7" s="3402"/>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1" t="s">
        <v>533</v>
      </c>
      <c r="Q8" s="3402"/>
      <c r="R8" s="1555" t="s">
        <v>8</v>
      </c>
      <c r="S8" s="1556">
        <f t="shared" si="0"/>
        <v>0</v>
      </c>
      <c r="T8" s="1555" t="s">
        <v>8</v>
      </c>
      <c r="U8" s="1556">
        <f t="shared" si="1"/>
        <v>0</v>
      </c>
      <c r="V8" s="1555" t="s">
        <v>8</v>
      </c>
      <c r="W8" s="1556">
        <f t="shared" si="2"/>
        <v>0</v>
      </c>
      <c r="X8" s="1557"/>
      <c r="Y8" s="3401" t="s">
        <v>533</v>
      </c>
      <c r="Z8" s="3402"/>
      <c r="AA8" s="1558" t="e">
        <f t="shared" ref="AA8:AA36" si="3">D8/F8</f>
        <v>#DIV/0!</v>
      </c>
      <c r="AB8" s="1558" t="e">
        <f t="shared" ref="AB8:AB36" si="4">D8/H8</f>
        <v>#DIV/0!</v>
      </c>
      <c r="AC8" s="1558" t="e">
        <f t="shared" ref="AC8:AC36" si="5">D8/J8</f>
        <v>#DIV/0!</v>
      </c>
    </row>
    <row r="9" spans="1:29" s="1216" customFormat="1" ht="15">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09" t="s">
        <v>535</v>
      </c>
      <c r="Q9" s="1147" t="str">
        <f t="shared" ref="Q9:Q14" si="6">B9</f>
        <v>用途</v>
      </c>
      <c r="R9" s="1555" t="s">
        <v>8</v>
      </c>
      <c r="S9" s="1556">
        <f t="shared" si="0"/>
        <v>100</v>
      </c>
      <c r="T9" s="1555" t="s">
        <v>8</v>
      </c>
      <c r="U9" s="1556">
        <f t="shared" si="1"/>
        <v>100</v>
      </c>
      <c r="V9" s="1555" t="s">
        <v>8</v>
      </c>
      <c r="W9" s="1556">
        <f t="shared" si="2"/>
        <v>100</v>
      </c>
      <c r="X9" s="1557"/>
      <c r="Y9" s="3366" t="s">
        <v>536</v>
      </c>
      <c r="Z9" s="1146" t="str">
        <f t="shared" ref="Z9:Z14" si="7">Q9</f>
        <v>用途</v>
      </c>
      <c r="AA9" s="1558">
        <f t="shared" si="3"/>
        <v>1</v>
      </c>
      <c r="AB9" s="1558">
        <f t="shared" si="4"/>
        <v>1</v>
      </c>
      <c r="AC9" s="1558">
        <f t="shared" si="5"/>
        <v>1</v>
      </c>
    </row>
    <row r="10" spans="1:29" s="1334" customFormat="1" ht="27">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09"/>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09"/>
      <c r="Q11" s="1147">
        <f t="shared" si="6"/>
        <v>111</v>
      </c>
      <c r="R11" s="1555" t="s">
        <v>8</v>
      </c>
      <c r="S11" s="1556">
        <f t="shared" si="0"/>
        <v>100</v>
      </c>
      <c r="T11" s="1555" t="s">
        <v>8</v>
      </c>
      <c r="U11" s="1556">
        <f t="shared" si="1"/>
        <v>100</v>
      </c>
      <c r="V11" s="1555" t="s">
        <v>8</v>
      </c>
      <c r="W11" s="1556">
        <f t="shared" si="2"/>
        <v>100</v>
      </c>
      <c r="X11" s="1557"/>
      <c r="Y11" s="3366"/>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09"/>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09"/>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15">
      <c r="A14" s="2865" t="s">
        <v>2748</v>
      </c>
      <c r="B14" s="547" t="s">
        <v>543</v>
      </c>
      <c r="C14" s="921" t="str">
        <f>IF(B1="工业",估价对象房地状况!G4,估价对象房地状况!C6)</f>
        <v>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11" t="s">
        <v>540</v>
      </c>
      <c r="Q14" s="1559" t="str">
        <f t="shared" si="6"/>
        <v>交通便捷度</v>
      </c>
      <c r="R14" s="1560" t="s">
        <v>8</v>
      </c>
      <c r="S14" s="1561">
        <f t="shared" si="0"/>
        <v>100</v>
      </c>
      <c r="T14" s="1560" t="s">
        <v>8</v>
      </c>
      <c r="U14" s="1561">
        <f t="shared" si="1"/>
        <v>100</v>
      </c>
      <c r="V14" s="1560" t="s">
        <v>8</v>
      </c>
      <c r="W14" s="1561">
        <f t="shared" si="2"/>
        <v>100</v>
      </c>
      <c r="X14" s="1554"/>
      <c r="Y14" s="3411"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12"/>
      <c r="Q15" s="1559"/>
      <c r="R15" s="1560"/>
      <c r="S15" s="1561"/>
      <c r="T15" s="1560"/>
      <c r="U15" s="1561"/>
      <c r="V15" s="1560"/>
      <c r="W15" s="1561"/>
      <c r="X15" s="1554"/>
      <c r="Y15" s="3412"/>
      <c r="Z15" s="1562"/>
      <c r="AA15" s="1563">
        <v>1</v>
      </c>
      <c r="AB15" s="1563">
        <v>1</v>
      </c>
      <c r="AC15" s="1563">
        <v>1</v>
      </c>
    </row>
    <row r="16" spans="1:29" ht="15">
      <c r="A16" s="515"/>
      <c r="B16" s="2567" t="s">
        <v>2542</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2"/>
      <c r="Q16" s="1559" t="str">
        <f>B16</f>
        <v>公共配套设施</v>
      </c>
      <c r="R16" s="1560" t="s">
        <v>8</v>
      </c>
      <c r="S16" s="1561">
        <f>F16</f>
        <v>100</v>
      </c>
      <c r="T16" s="1560" t="s">
        <v>8</v>
      </c>
      <c r="U16" s="1561">
        <f>H16</f>
        <v>100</v>
      </c>
      <c r="V16" s="1560" t="s">
        <v>8</v>
      </c>
      <c r="W16" s="1561">
        <f>J16</f>
        <v>100</v>
      </c>
      <c r="X16" s="1554"/>
      <c r="Y16" s="341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12"/>
      <c r="Q17" s="1559"/>
      <c r="R17" s="1560"/>
      <c r="S17" s="1561"/>
      <c r="T17" s="1560"/>
      <c r="U17" s="1561"/>
      <c r="V17" s="1560"/>
      <c r="W17" s="1561"/>
      <c r="X17" s="1554"/>
      <c r="Y17" s="3412"/>
      <c r="Z17" s="1562"/>
      <c r="AA17" s="1563">
        <v>1</v>
      </c>
      <c r="AB17" s="1563">
        <v>1</v>
      </c>
      <c r="AC17" s="1563">
        <v>1</v>
      </c>
    </row>
    <row r="18" spans="1:29" ht="15">
      <c r="A18" s="515"/>
      <c r="B18" s="2555" t="s">
        <v>2554</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2"/>
      <c r="Q18" s="2543" t="str">
        <f>B18</f>
        <v>基础设施水平</v>
      </c>
      <c r="R18" s="1560" t="s">
        <v>8</v>
      </c>
      <c r="S18" s="1561">
        <f>F18</f>
        <v>100</v>
      </c>
      <c r="T18" s="1560" t="s">
        <v>8</v>
      </c>
      <c r="U18" s="1561">
        <f>H18</f>
        <v>100</v>
      </c>
      <c r="V18" s="1560" t="s">
        <v>8</v>
      </c>
      <c r="W18" s="1561">
        <f>J18</f>
        <v>100</v>
      </c>
      <c r="X18" s="2545"/>
      <c r="Y18" s="3412"/>
      <c r="Z18" s="2544" t="str">
        <f>Q18</f>
        <v>基础设施水平</v>
      </c>
      <c r="AA18" s="1563">
        <f>D18/F18</f>
        <v>1</v>
      </c>
      <c r="AB18" s="1563">
        <f>D18/H18</f>
        <v>1</v>
      </c>
      <c r="AC18" s="1563">
        <f>D18/J18</f>
        <v>1</v>
      </c>
    </row>
    <row r="19" spans="1:29" ht="15">
      <c r="A19" s="515"/>
      <c r="B19" s="578"/>
      <c r="C19" s="873"/>
      <c r="D19" s="559"/>
      <c r="E19" s="576"/>
      <c r="F19" s="557"/>
      <c r="G19" s="576"/>
      <c r="H19" s="555"/>
      <c r="I19" s="576"/>
      <c r="J19" s="555"/>
      <c r="K19" s="2566"/>
      <c r="L19" s="2127"/>
      <c r="M19" s="2119"/>
      <c r="N19" s="2119"/>
      <c r="O19" s="2126"/>
      <c r="P19" s="3412"/>
      <c r="Q19" s="2543"/>
      <c r="R19" s="1560"/>
      <c r="S19" s="1561"/>
      <c r="T19" s="1560"/>
      <c r="U19" s="1561"/>
      <c r="V19" s="1560"/>
      <c r="W19" s="1561"/>
      <c r="X19" s="2545"/>
      <c r="Y19" s="3412"/>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2"/>
      <c r="Q20" s="1559" t="str">
        <f>B20</f>
        <v>自然及人文环境</v>
      </c>
      <c r="R20" s="1560" t="s">
        <v>8</v>
      </c>
      <c r="S20" s="1561">
        <f>F20</f>
        <v>100</v>
      </c>
      <c r="T20" s="1560" t="s">
        <v>8</v>
      </c>
      <c r="U20" s="1561">
        <f>H20</f>
        <v>100</v>
      </c>
      <c r="V20" s="1560" t="s">
        <v>8</v>
      </c>
      <c r="W20" s="1561">
        <f>J20</f>
        <v>100</v>
      </c>
      <c r="X20" s="1554"/>
      <c r="Y20" s="341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12"/>
      <c r="Q21" s="1559"/>
      <c r="R21" s="1560"/>
      <c r="S21" s="1561"/>
      <c r="T21" s="1560"/>
      <c r="U21" s="1561"/>
      <c r="V21" s="1560"/>
      <c r="W21" s="1561"/>
      <c r="X21" s="1554"/>
      <c r="Y21" s="3412"/>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2"/>
      <c r="Q22" s="1559" t="str">
        <f>B22</f>
        <v>楼层</v>
      </c>
      <c r="R22" s="1560" t="s">
        <v>8</v>
      </c>
      <c r="S22" s="1561">
        <f>F22</f>
        <v>100</v>
      </c>
      <c r="T22" s="1560" t="s">
        <v>8</v>
      </c>
      <c r="U22" s="1561">
        <f>H22</f>
        <v>100</v>
      </c>
      <c r="V22" s="1560" t="s">
        <v>8</v>
      </c>
      <c r="W22" s="1561">
        <f>J22</f>
        <v>100</v>
      </c>
      <c r="X22" s="1554"/>
      <c r="Y22" s="341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2"/>
      <c r="Q23" s="1559">
        <f>B23</f>
        <v>111</v>
      </c>
      <c r="R23" s="1560" t="s">
        <v>8</v>
      </c>
      <c r="S23" s="1561">
        <f>F23</f>
        <v>100</v>
      </c>
      <c r="T23" s="1560" t="s">
        <v>8</v>
      </c>
      <c r="U23" s="1561">
        <f>H23</f>
        <v>100</v>
      </c>
      <c r="V23" s="1560" t="s">
        <v>8</v>
      </c>
      <c r="W23" s="1561">
        <f>J23</f>
        <v>100</v>
      </c>
      <c r="X23" s="1554"/>
      <c r="Y23" s="341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2"/>
      <c r="Q24" s="1559">
        <f t="shared" ref="Q24:Q36" si="8">B24</f>
        <v>111</v>
      </c>
      <c r="R24" s="1560" t="s">
        <v>8</v>
      </c>
      <c r="S24" s="1561">
        <f>F24</f>
        <v>100</v>
      </c>
      <c r="T24" s="1560" t="s">
        <v>8</v>
      </c>
      <c r="U24" s="1561">
        <f>H24</f>
        <v>100</v>
      </c>
      <c r="V24" s="1560" t="s">
        <v>8</v>
      </c>
      <c r="W24" s="1561">
        <f>J24</f>
        <v>100</v>
      </c>
      <c r="X24" s="1554"/>
      <c r="Y24" s="341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2"/>
      <c r="Q25" s="1147">
        <f t="shared" si="8"/>
        <v>111</v>
      </c>
      <c r="R25" s="1555" t="s">
        <v>8</v>
      </c>
      <c r="S25" s="1556">
        <f>F25</f>
        <v>100</v>
      </c>
      <c r="T25" s="1555" t="s">
        <v>8</v>
      </c>
      <c r="U25" s="1556">
        <f>H25</f>
        <v>100</v>
      </c>
      <c r="V25" s="1555" t="s">
        <v>8</v>
      </c>
      <c r="W25" s="1556">
        <f>J25</f>
        <v>100</v>
      </c>
      <c r="X25" s="1557"/>
      <c r="Y25" s="3412"/>
      <c r="Z25" s="1146">
        <f>Q25</f>
        <v>111</v>
      </c>
      <c r="AA25" s="1563">
        <f>D25/F25</f>
        <v>1</v>
      </c>
      <c r="AB25" s="1563">
        <f>D25/H25</f>
        <v>1</v>
      </c>
      <c r="AC25" s="1563">
        <f>D25/J25</f>
        <v>1</v>
      </c>
    </row>
    <row r="26" spans="1:29" ht="15">
      <c r="A26" s="2862"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3" t="s">
        <v>550</v>
      </c>
      <c r="Q26" s="1559" t="str">
        <f t="shared" si="8"/>
        <v>配套类型</v>
      </c>
      <c r="R26" s="1560" t="s">
        <v>8</v>
      </c>
      <c r="S26" s="1561">
        <f t="shared" ref="S26:S36" si="9">F26</f>
        <v>100</v>
      </c>
      <c r="T26" s="1560" t="s">
        <v>8</v>
      </c>
      <c r="U26" s="1561">
        <f t="shared" ref="U26:U36" si="10">H26</f>
        <v>100</v>
      </c>
      <c r="V26" s="1560" t="s">
        <v>8</v>
      </c>
      <c r="W26" s="1561">
        <f t="shared" ref="W26:W36" si="11">J26</f>
        <v>100</v>
      </c>
      <c r="X26" s="1554"/>
      <c r="Y26" s="3414" t="s">
        <v>550</v>
      </c>
      <c r="Z26" s="1562" t="str">
        <f t="shared" ref="Z26:Z36" si="12">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4"/>
      <c r="Q27" s="1591" t="str">
        <f t="shared" si="8"/>
        <v>项目停车位配比</v>
      </c>
      <c r="R27" s="1564" t="s">
        <v>8</v>
      </c>
      <c r="S27" s="1565">
        <f t="shared" si="9"/>
        <v>100</v>
      </c>
      <c r="T27" s="1564" t="s">
        <v>8</v>
      </c>
      <c r="U27" s="1565">
        <f t="shared" si="10"/>
        <v>100</v>
      </c>
      <c r="V27" s="1564" t="s">
        <v>8</v>
      </c>
      <c r="W27" s="1565">
        <f t="shared" si="11"/>
        <v>100</v>
      </c>
      <c r="X27" s="1566"/>
      <c r="Y27" s="3414"/>
      <c r="Z27" s="1567" t="str">
        <f t="shared" si="12"/>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4"/>
      <c r="Q28" s="1559" t="str">
        <f t="shared" si="8"/>
        <v>公共部分装修</v>
      </c>
      <c r="R28" s="1560" t="s">
        <v>8</v>
      </c>
      <c r="S28" s="1561">
        <f t="shared" si="9"/>
        <v>100</v>
      </c>
      <c r="T28" s="1560" t="s">
        <v>8</v>
      </c>
      <c r="U28" s="1561">
        <f t="shared" si="10"/>
        <v>100</v>
      </c>
      <c r="V28" s="1560" t="s">
        <v>8</v>
      </c>
      <c r="W28" s="1561">
        <f t="shared" si="11"/>
        <v>100</v>
      </c>
      <c r="X28" s="1554"/>
      <c r="Y28" s="3414"/>
      <c r="Z28" s="1562" t="str">
        <f t="shared" si="12"/>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4"/>
      <c r="Q29" s="1559" t="str">
        <f t="shared" si="8"/>
        <v>成新率</v>
      </c>
      <c r="R29" s="1560" t="s">
        <v>8</v>
      </c>
      <c r="S29" s="1561" t="e">
        <f t="shared" si="9"/>
        <v>#N/A</v>
      </c>
      <c r="T29" s="1560" t="s">
        <v>8</v>
      </c>
      <c r="U29" s="1561" t="e">
        <f t="shared" si="10"/>
        <v>#N/A</v>
      </c>
      <c r="V29" s="1560" t="s">
        <v>8</v>
      </c>
      <c r="W29" s="1561" t="e">
        <f t="shared" si="11"/>
        <v>#N/A</v>
      </c>
      <c r="X29" s="1554"/>
      <c r="Y29" s="3414"/>
      <c r="Z29" s="1562" t="str">
        <f t="shared" si="12"/>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4"/>
      <c r="Q30" s="1559" t="str">
        <f t="shared" si="8"/>
        <v>物业等级</v>
      </c>
      <c r="R30" s="1560" t="s">
        <v>8</v>
      </c>
      <c r="S30" s="1561">
        <f t="shared" si="9"/>
        <v>100</v>
      </c>
      <c r="T30" s="1560" t="s">
        <v>8</v>
      </c>
      <c r="U30" s="1561">
        <f t="shared" si="10"/>
        <v>100</v>
      </c>
      <c r="V30" s="1560" t="s">
        <v>8</v>
      </c>
      <c r="W30" s="1561">
        <f t="shared" si="11"/>
        <v>100</v>
      </c>
      <c r="X30" s="1554"/>
      <c r="Y30" s="3414"/>
      <c r="Z30" s="1562" t="str">
        <f t="shared" si="12"/>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4"/>
      <c r="Q31" s="1147" t="str">
        <f t="shared" si="8"/>
        <v>停车位面积</v>
      </c>
      <c r="R31" s="1555" t="s">
        <v>8</v>
      </c>
      <c r="S31" s="1556" t="e">
        <f t="shared" si="9"/>
        <v>#N/A</v>
      </c>
      <c r="T31" s="1555" t="s">
        <v>8</v>
      </c>
      <c r="U31" s="1556" t="e">
        <f t="shared" si="10"/>
        <v>#N/A</v>
      </c>
      <c r="V31" s="1555" t="s">
        <v>8</v>
      </c>
      <c r="W31" s="1556" t="e">
        <f t="shared" si="11"/>
        <v>#N/A</v>
      </c>
      <c r="X31" s="1557"/>
      <c r="Y31" s="3414"/>
      <c r="Z31" s="1146" t="str">
        <f t="shared" si="12"/>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4" t="s">
        <v>550</v>
      </c>
      <c r="Q32" s="1559" t="str">
        <f t="shared" si="8"/>
        <v>车位类型</v>
      </c>
      <c r="R32" s="1560" t="s">
        <v>8</v>
      </c>
      <c r="S32" s="1561">
        <f t="shared" si="9"/>
        <v>100</v>
      </c>
      <c r="T32" s="1560" t="s">
        <v>8</v>
      </c>
      <c r="U32" s="1561">
        <f t="shared" si="10"/>
        <v>100</v>
      </c>
      <c r="V32" s="1560" t="s">
        <v>8</v>
      </c>
      <c r="W32" s="1561">
        <f t="shared" si="11"/>
        <v>100</v>
      </c>
      <c r="X32" s="1554"/>
      <c r="Y32" s="3414" t="s">
        <v>550</v>
      </c>
      <c r="Z32" s="1562" t="str">
        <f t="shared" si="12"/>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4"/>
      <c r="Q33" s="1559" t="str">
        <f t="shared" si="8"/>
        <v>是否直接入户</v>
      </c>
      <c r="R33" s="1560" t="s">
        <v>8</v>
      </c>
      <c r="S33" s="1561">
        <f t="shared" si="9"/>
        <v>100</v>
      </c>
      <c r="T33" s="1560" t="s">
        <v>8</v>
      </c>
      <c r="U33" s="1561">
        <f t="shared" si="10"/>
        <v>100</v>
      </c>
      <c r="V33" s="1560" t="s">
        <v>8</v>
      </c>
      <c r="W33" s="1561">
        <f t="shared" si="11"/>
        <v>100</v>
      </c>
      <c r="X33" s="1554"/>
      <c r="Y33" s="3414"/>
      <c r="Z33" s="1562" t="str">
        <f t="shared" si="12"/>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4"/>
      <c r="Q34" s="1559">
        <f t="shared" si="8"/>
        <v>111</v>
      </c>
      <c r="R34" s="1560" t="s">
        <v>8</v>
      </c>
      <c r="S34" s="1561">
        <f t="shared" si="9"/>
        <v>100</v>
      </c>
      <c r="T34" s="1560" t="s">
        <v>8</v>
      </c>
      <c r="U34" s="1561">
        <f t="shared" si="10"/>
        <v>100</v>
      </c>
      <c r="V34" s="1560" t="s">
        <v>8</v>
      </c>
      <c r="W34" s="1561">
        <f t="shared" si="11"/>
        <v>100</v>
      </c>
      <c r="X34" s="1554"/>
      <c r="Y34" s="3414"/>
      <c r="Z34" s="1562">
        <f t="shared" si="12"/>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4"/>
      <c r="Q35" s="1591">
        <f t="shared" si="8"/>
        <v>111</v>
      </c>
      <c r="R35" s="1564" t="s">
        <v>8</v>
      </c>
      <c r="S35" s="1565">
        <f t="shared" si="9"/>
        <v>100</v>
      </c>
      <c r="T35" s="1564" t="s">
        <v>8</v>
      </c>
      <c r="U35" s="1565">
        <f t="shared" si="10"/>
        <v>100</v>
      </c>
      <c r="V35" s="1564" t="s">
        <v>8</v>
      </c>
      <c r="W35" s="1565">
        <f t="shared" si="11"/>
        <v>100</v>
      </c>
      <c r="X35" s="1566"/>
      <c r="Y35" s="3414"/>
      <c r="Z35" s="1567">
        <f t="shared" si="12"/>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4"/>
      <c r="Q36" s="1559">
        <f t="shared" si="8"/>
        <v>111</v>
      </c>
      <c r="R36" s="1560" t="s">
        <v>8</v>
      </c>
      <c r="S36" s="1561">
        <f t="shared" si="9"/>
        <v>100</v>
      </c>
      <c r="T36" s="1560" t="s">
        <v>8</v>
      </c>
      <c r="U36" s="1561">
        <f t="shared" si="10"/>
        <v>100</v>
      </c>
      <c r="V36" s="1560" t="s">
        <v>8</v>
      </c>
      <c r="W36" s="1561">
        <f t="shared" si="11"/>
        <v>100</v>
      </c>
      <c r="X36" s="1554"/>
      <c r="Y36" s="3414"/>
      <c r="Z36" s="1562">
        <f t="shared" si="12"/>
        <v>111</v>
      </c>
      <c r="AA36" s="1563">
        <f t="shared" si="3"/>
        <v>1</v>
      </c>
      <c r="AB36" s="1563">
        <f t="shared" si="4"/>
        <v>1</v>
      </c>
      <c r="AC36" s="1563">
        <f t="shared" si="5"/>
        <v>1</v>
      </c>
    </row>
    <row r="37" spans="1:29" ht="15">
      <c r="A37" s="1831" t="s">
        <v>2073</v>
      </c>
      <c r="B37" s="1832" t="s">
        <v>2074</v>
      </c>
      <c r="C37" s="2591" t="s">
        <v>1</v>
      </c>
      <c r="D37" s="2592"/>
      <c r="E37" s="2593"/>
      <c r="F37" s="2594"/>
      <c r="G37" s="2595"/>
      <c r="H37" s="2596"/>
      <c r="I37" s="2593"/>
      <c r="J37" s="2596"/>
      <c r="K37" s="1597"/>
      <c r="L37" s="2129"/>
      <c r="M37" s="2130"/>
      <c r="N37" s="2119"/>
      <c r="O37" s="2130"/>
      <c r="P37" s="3409" t="str">
        <f>A37</f>
        <v>成交单价</v>
      </c>
      <c r="Q37" s="3409"/>
      <c r="R37" s="3517">
        <f>E37</f>
        <v>0</v>
      </c>
      <c r="S37" s="3517"/>
      <c r="T37" s="3517">
        <f>G37</f>
        <v>0</v>
      </c>
      <c r="U37" s="3517"/>
      <c r="V37" s="3517">
        <f>I37</f>
        <v>0</v>
      </c>
      <c r="W37" s="3517"/>
      <c r="X37" s="1546"/>
      <c r="Y37" s="1568"/>
      <c r="Z37" s="1546"/>
      <c r="AA37" s="1546"/>
      <c r="AB37" s="1546"/>
      <c r="AC37" s="1546"/>
    </row>
    <row r="38" spans="1:29" ht="15.75" thickBot="1">
      <c r="A38" s="615" t="s">
        <v>2754</v>
      </c>
      <c r="B38" s="888"/>
      <c r="C38" s="2597" t="e">
        <f>R39</f>
        <v>#DIV/0!</v>
      </c>
      <c r="D38" s="2598"/>
      <c r="E38" s="2599" t="e">
        <f>R38</f>
        <v>#DIV/0!</v>
      </c>
      <c r="F38" s="2599"/>
      <c r="G38" s="2597" t="e">
        <f>T38</f>
        <v>#DIV/0!</v>
      </c>
      <c r="H38" s="2598"/>
      <c r="I38" s="2599" t="e">
        <f>V38</f>
        <v>#DIV/0!</v>
      </c>
      <c r="J38" s="2598"/>
      <c r="K38" s="1598"/>
      <c r="L38" s="2129"/>
      <c r="M38" s="2130"/>
      <c r="N38" s="2130"/>
      <c r="O38" s="2130"/>
      <c r="P38" s="3409" t="str">
        <f>A38</f>
        <v>比较价格（元/平方米）</v>
      </c>
      <c r="Q38" s="3409"/>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75" thickBot="1">
      <c r="A39" s="621" t="s">
        <v>2918</v>
      </c>
      <c r="B39" s="622"/>
      <c r="C39" s="2600" t="e">
        <f>R39</f>
        <v>#DIV/0!</v>
      </c>
      <c r="D39" s="2600"/>
      <c r="E39" s="2600"/>
      <c r="F39" s="2600"/>
      <c r="G39" s="2600"/>
      <c r="H39" s="2600"/>
      <c r="I39" s="2600"/>
      <c r="J39" s="2600"/>
      <c r="K39" s="1599"/>
      <c r="L39" s="2129"/>
      <c r="M39" s="2130"/>
      <c r="N39" s="2130"/>
      <c r="O39" s="2130"/>
      <c r="P39" s="3431" t="str">
        <f>A39</f>
        <v>估价对象XX用房的比较价格（楼面单价，元/平方米）</v>
      </c>
      <c r="Q39" s="3432"/>
      <c r="R39" s="3516" t="e">
        <f>IF(F1="售价",ROUND(AVERAGE(R38:V38),0),ROUND(AVERAGE(R38:V38),1))</f>
        <v>#DIV/0!</v>
      </c>
      <c r="S39" s="3516"/>
      <c r="T39" s="3516"/>
      <c r="U39" s="3516"/>
      <c r="V39" s="3516"/>
      <c r="W39" s="3516"/>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2020-3</v>
      </c>
      <c r="D48" s="2759">
        <f>EDATE(C48,-1)</f>
        <v>43862</v>
      </c>
      <c r="E48" s="2759">
        <f t="shared" ref="E48:O48" si="13">EDATE(D48,-1)</f>
        <v>43831</v>
      </c>
      <c r="F48" s="2759">
        <f t="shared" si="13"/>
        <v>43800</v>
      </c>
      <c r="G48" s="2759">
        <f t="shared" si="13"/>
        <v>43770</v>
      </c>
      <c r="H48" s="2759">
        <f t="shared" si="13"/>
        <v>43739</v>
      </c>
      <c r="I48" s="2759">
        <f t="shared" si="13"/>
        <v>43709</v>
      </c>
      <c r="J48" s="2759">
        <f t="shared" si="13"/>
        <v>43678</v>
      </c>
      <c r="K48" s="2759">
        <f t="shared" si="13"/>
        <v>43647</v>
      </c>
      <c r="L48" s="2759">
        <f t="shared" si="13"/>
        <v>43617</v>
      </c>
      <c r="M48" s="2759">
        <f t="shared" si="13"/>
        <v>43586</v>
      </c>
      <c r="N48" s="2759">
        <f t="shared" si="13"/>
        <v>43556</v>
      </c>
      <c r="O48" s="2759">
        <f t="shared" si="13"/>
        <v>43525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2553</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2554</v>
      </c>
      <c r="C67" s="2562" t="s">
        <v>2555</v>
      </c>
      <c r="D67" s="2562" t="s">
        <v>2556</v>
      </c>
      <c r="E67" s="2562" t="s">
        <v>2557</v>
      </c>
      <c r="F67" s="2562" t="s">
        <v>2558</v>
      </c>
      <c r="G67" s="2562" t="s">
        <v>2559</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 sqref="G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415" t="s">
        <v>798</v>
      </c>
      <c r="D4" s="3416"/>
      <c r="E4" s="3440" t="s">
        <v>799</v>
      </c>
      <c r="F4" s="3441"/>
      <c r="G4" s="3415" t="s">
        <v>800</v>
      </c>
      <c r="H4" s="3416"/>
      <c r="I4" s="3415" t="s">
        <v>801</v>
      </c>
      <c r="J4" s="3416"/>
      <c r="K4" s="514" t="s">
        <v>802</v>
      </c>
      <c r="L4" s="2118"/>
      <c r="M4" s="2119"/>
      <c r="N4" s="2119"/>
      <c r="O4" s="2119"/>
      <c r="P4" s="3417" t="s">
        <v>803</v>
      </c>
      <c r="Q4" s="3418"/>
      <c r="R4" s="3403" t="s">
        <v>799</v>
      </c>
      <c r="S4" s="3404"/>
      <c r="T4" s="3403" t="s">
        <v>800</v>
      </c>
      <c r="U4" s="3404"/>
      <c r="V4" s="3423" t="s">
        <v>801</v>
      </c>
      <c r="W4" s="3423"/>
      <c r="X4" s="1554"/>
      <c r="Y4" s="3403" t="s">
        <v>803</v>
      </c>
      <c r="Z4" s="3404"/>
      <c r="AA4" s="3398" t="s">
        <v>799</v>
      </c>
      <c r="AB4" s="3399" t="s">
        <v>800</v>
      </c>
      <c r="AC4" s="3398" t="s">
        <v>801</v>
      </c>
    </row>
    <row r="5" spans="1:29" ht="15">
      <c r="A5" s="515"/>
      <c r="B5" s="516"/>
      <c r="C5" s="3444" t="s">
        <v>2912</v>
      </c>
      <c r="D5" s="3445"/>
      <c r="E5" s="3442" t="s">
        <v>2913</v>
      </c>
      <c r="F5" s="3443"/>
      <c r="G5" s="3444" t="s">
        <v>2914</v>
      </c>
      <c r="H5" s="3445"/>
      <c r="I5" s="3444" t="s">
        <v>2915</v>
      </c>
      <c r="J5" s="3445"/>
      <c r="K5" s="514"/>
      <c r="L5" s="2118"/>
      <c r="M5" s="2119"/>
      <c r="N5" s="2119"/>
      <c r="O5" s="2119"/>
      <c r="P5" s="3419"/>
      <c r="Q5" s="3420"/>
      <c r="R5" s="3405"/>
      <c r="S5" s="3406"/>
      <c r="T5" s="3405"/>
      <c r="U5" s="3406"/>
      <c r="V5" s="3423"/>
      <c r="W5" s="3423"/>
      <c r="X5" s="1554"/>
      <c r="Y5" s="3405"/>
      <c r="Z5" s="3406"/>
      <c r="AA5" s="3399"/>
      <c r="AB5" s="3399"/>
      <c r="AC5" s="3399"/>
    </row>
    <row r="6" spans="1:29" ht="15.75" thickBot="1">
      <c r="A6" s="517"/>
      <c r="B6" s="518"/>
      <c r="C6" s="3446" t="s">
        <v>2916</v>
      </c>
      <c r="D6" s="3447"/>
      <c r="E6" s="3448" t="s">
        <v>2916</v>
      </c>
      <c r="F6" s="3449"/>
      <c r="G6" s="3446" t="s">
        <v>2916</v>
      </c>
      <c r="H6" s="3447"/>
      <c r="I6" s="3446" t="s">
        <v>2916</v>
      </c>
      <c r="J6" s="3447"/>
      <c r="K6" s="514" t="s">
        <v>528</v>
      </c>
      <c r="L6" s="2118"/>
      <c r="M6" s="2119"/>
      <c r="N6" s="2119"/>
      <c r="O6" s="2119"/>
      <c r="P6" s="3421"/>
      <c r="Q6" s="3422"/>
      <c r="R6" s="3405"/>
      <c r="S6" s="3406"/>
      <c r="T6" s="3407"/>
      <c r="U6" s="3408"/>
      <c r="V6" s="3423"/>
      <c r="W6" s="3423"/>
      <c r="X6" s="1554"/>
      <c r="Y6" s="3407"/>
      <c r="Z6" s="3408"/>
      <c r="AA6" s="3400"/>
      <c r="AB6" s="3400"/>
      <c r="AC6" s="3400"/>
    </row>
    <row r="7" spans="1:29" s="1216" customFormat="1" ht="15.75" thickBot="1">
      <c r="A7" s="2867"/>
      <c r="B7" s="2874" t="s">
        <v>529</v>
      </c>
      <c r="C7" s="519">
        <f>'数据-取费表'!B2</f>
        <v>43910</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1" t="s">
        <v>530</v>
      </c>
      <c r="Q7" s="3410"/>
      <c r="R7" s="1555" t="s">
        <v>8</v>
      </c>
      <c r="S7" s="1556">
        <f t="shared" ref="S7:S14" si="0">F7</f>
        <v>0</v>
      </c>
      <c r="T7" s="1555" t="s">
        <v>8</v>
      </c>
      <c r="U7" s="1556">
        <f t="shared" ref="U7:U14" si="1">H7</f>
        <v>0</v>
      </c>
      <c r="V7" s="1555" t="s">
        <v>8</v>
      </c>
      <c r="W7" s="1556">
        <f t="shared" ref="W7:W14" si="2">J7</f>
        <v>0</v>
      </c>
      <c r="X7" s="1557"/>
      <c r="Y7" s="3401" t="s">
        <v>530</v>
      </c>
      <c r="Z7" s="3402"/>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1" t="s">
        <v>533</v>
      </c>
      <c r="Q8" s="3402"/>
      <c r="R8" s="1555" t="s">
        <v>8</v>
      </c>
      <c r="S8" s="1556">
        <f t="shared" si="0"/>
        <v>0</v>
      </c>
      <c r="T8" s="1555" t="s">
        <v>8</v>
      </c>
      <c r="U8" s="1556">
        <f t="shared" si="1"/>
        <v>0</v>
      </c>
      <c r="V8" s="1555" t="s">
        <v>8</v>
      </c>
      <c r="W8" s="1556">
        <f t="shared" si="2"/>
        <v>0</v>
      </c>
      <c r="X8" s="1557"/>
      <c r="Y8" s="3401" t="s">
        <v>533</v>
      </c>
      <c r="Z8" s="3402"/>
      <c r="AA8" s="1558" t="e">
        <f t="shared" ref="AA8:AA34" si="3">D8/F8</f>
        <v>#DIV/0!</v>
      </c>
      <c r="AB8" s="1558" t="e">
        <f t="shared" ref="AB8:AB34" si="4">D8/H8</f>
        <v>#DIV/0!</v>
      </c>
      <c r="AC8" s="1558" t="e">
        <f t="shared" ref="AC8:AC34" si="5">D8/J8</f>
        <v>#DIV/0!</v>
      </c>
    </row>
    <row r="9" spans="1:29" s="1216" customFormat="1" ht="15">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09" t="s">
        <v>535</v>
      </c>
      <c r="Q9" s="1147" t="str">
        <f t="shared" ref="Q9:Q14" si="6">B9</f>
        <v>用途</v>
      </c>
      <c r="R9" s="1555" t="s">
        <v>8</v>
      </c>
      <c r="S9" s="1556">
        <f t="shared" si="0"/>
        <v>100</v>
      </c>
      <c r="T9" s="1555" t="s">
        <v>8</v>
      </c>
      <c r="U9" s="1556">
        <f t="shared" si="1"/>
        <v>100</v>
      </c>
      <c r="V9" s="1555" t="s">
        <v>8</v>
      </c>
      <c r="W9" s="1556">
        <f t="shared" si="2"/>
        <v>100</v>
      </c>
      <c r="X9" s="1557"/>
      <c r="Y9" s="3366" t="s">
        <v>536</v>
      </c>
      <c r="Z9" s="1146" t="str">
        <f t="shared" ref="Z9:Z14" si="7">Q9</f>
        <v>用途</v>
      </c>
      <c r="AA9" s="1558">
        <f t="shared" si="3"/>
        <v>1</v>
      </c>
      <c r="AB9" s="1558">
        <f t="shared" si="4"/>
        <v>1</v>
      </c>
      <c r="AC9" s="1558">
        <f t="shared" si="5"/>
        <v>1</v>
      </c>
    </row>
    <row r="10" spans="1:29" s="1334" customFormat="1" ht="27">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09"/>
      <c r="Q10" s="1147" t="str">
        <f t="shared" si="6"/>
        <v>土地使用年限（年）</v>
      </c>
      <c r="R10" s="1555" t="s">
        <v>8</v>
      </c>
      <c r="S10" s="1556">
        <f t="shared" si="0"/>
        <v>100</v>
      </c>
      <c r="T10" s="1555" t="s">
        <v>8</v>
      </c>
      <c r="U10" s="1556">
        <f t="shared" si="1"/>
        <v>100</v>
      </c>
      <c r="V10" s="1555" t="s">
        <v>8</v>
      </c>
      <c r="W10" s="1556">
        <f t="shared" si="2"/>
        <v>100</v>
      </c>
      <c r="X10" s="1557"/>
      <c r="Y10" s="3366"/>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09"/>
      <c r="Q11" s="1147">
        <f t="shared" si="6"/>
        <v>111</v>
      </c>
      <c r="R11" s="1555" t="s">
        <v>8</v>
      </c>
      <c r="S11" s="1556">
        <f t="shared" si="0"/>
        <v>100</v>
      </c>
      <c r="T11" s="1555" t="s">
        <v>8</v>
      </c>
      <c r="U11" s="1556">
        <f t="shared" si="1"/>
        <v>100</v>
      </c>
      <c r="V11" s="1555" t="s">
        <v>8</v>
      </c>
      <c r="W11" s="1556">
        <f t="shared" si="2"/>
        <v>100</v>
      </c>
      <c r="X11" s="1557"/>
      <c r="Y11" s="3366"/>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09"/>
      <c r="Q12" s="1147">
        <f t="shared" si="6"/>
        <v>111</v>
      </c>
      <c r="R12" s="1555" t="s">
        <v>8</v>
      </c>
      <c r="S12" s="1556">
        <f t="shared" si="0"/>
        <v>100</v>
      </c>
      <c r="T12" s="1555" t="s">
        <v>8</v>
      </c>
      <c r="U12" s="1556">
        <f t="shared" si="1"/>
        <v>100</v>
      </c>
      <c r="V12" s="1555" t="s">
        <v>8</v>
      </c>
      <c r="W12" s="1556">
        <f t="shared" si="2"/>
        <v>100</v>
      </c>
      <c r="X12" s="1557"/>
      <c r="Y12" s="3366"/>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09"/>
      <c r="Q13" s="1147">
        <f t="shared" si="6"/>
        <v>111</v>
      </c>
      <c r="R13" s="1555" t="s">
        <v>8</v>
      </c>
      <c r="S13" s="1556">
        <f t="shared" si="0"/>
        <v>100</v>
      </c>
      <c r="T13" s="1555" t="s">
        <v>8</v>
      </c>
      <c r="U13" s="1556">
        <f t="shared" si="1"/>
        <v>100</v>
      </c>
      <c r="V13" s="1555" t="s">
        <v>8</v>
      </c>
      <c r="W13" s="1556">
        <f t="shared" si="2"/>
        <v>100</v>
      </c>
      <c r="X13" s="1557"/>
      <c r="Y13" s="3366"/>
      <c r="Z13" s="1146">
        <f t="shared" si="7"/>
        <v>111</v>
      </c>
      <c r="AA13" s="1558">
        <f t="shared" si="3"/>
        <v>1</v>
      </c>
      <c r="AB13" s="1558">
        <f t="shared" si="4"/>
        <v>1</v>
      </c>
      <c r="AC13" s="1558">
        <f t="shared" si="5"/>
        <v>1</v>
      </c>
    </row>
    <row r="14" spans="1:29" ht="15">
      <c r="A14" s="2865" t="s">
        <v>2748</v>
      </c>
      <c r="B14" s="166" t="s">
        <v>543</v>
      </c>
      <c r="C14" s="921" t="str">
        <f>IF(B1="工业",估价对象房地状况!G4,估价对象房地状况!C6)</f>
        <v>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11" t="s">
        <v>540</v>
      </c>
      <c r="Q14" s="1559" t="str">
        <f t="shared" si="6"/>
        <v>交通便捷度</v>
      </c>
      <c r="R14" s="1560" t="s">
        <v>8</v>
      </c>
      <c r="S14" s="1561">
        <f t="shared" si="0"/>
        <v>100</v>
      </c>
      <c r="T14" s="1560" t="s">
        <v>8</v>
      </c>
      <c r="U14" s="1561">
        <f t="shared" si="1"/>
        <v>100</v>
      </c>
      <c r="V14" s="1560" t="s">
        <v>8</v>
      </c>
      <c r="W14" s="1561">
        <f t="shared" si="2"/>
        <v>100</v>
      </c>
      <c r="X14" s="1554"/>
      <c r="Y14" s="3411"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12"/>
      <c r="Q15" s="1559"/>
      <c r="R15" s="1560"/>
      <c r="S15" s="1561"/>
      <c r="T15" s="1560"/>
      <c r="U15" s="1561"/>
      <c r="V15" s="1560"/>
      <c r="W15" s="1561"/>
      <c r="X15" s="1554"/>
      <c r="Y15" s="3412"/>
      <c r="Z15" s="1562"/>
      <c r="AA15" s="1563">
        <v>1</v>
      </c>
      <c r="AB15" s="1563">
        <v>1</v>
      </c>
      <c r="AC15" s="1563">
        <v>1</v>
      </c>
    </row>
    <row r="16" spans="1:29" ht="15">
      <c r="A16" s="532"/>
      <c r="B16" s="2567" t="s">
        <v>2542</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2"/>
      <c r="Q16" s="1559" t="str">
        <f>B16</f>
        <v>公共配套设施</v>
      </c>
      <c r="R16" s="1560" t="s">
        <v>8</v>
      </c>
      <c r="S16" s="1561">
        <f>F16</f>
        <v>100</v>
      </c>
      <c r="T16" s="1560" t="s">
        <v>8</v>
      </c>
      <c r="U16" s="1561">
        <f>H16</f>
        <v>100</v>
      </c>
      <c r="V16" s="1560" t="s">
        <v>8</v>
      </c>
      <c r="W16" s="1561">
        <f>J16</f>
        <v>100</v>
      </c>
      <c r="X16" s="1554"/>
      <c r="Y16" s="341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12"/>
      <c r="Q17" s="1559"/>
      <c r="R17" s="1560"/>
      <c r="S17" s="1561"/>
      <c r="T17" s="1560"/>
      <c r="U17" s="1561"/>
      <c r="V17" s="1560"/>
      <c r="W17" s="1561"/>
      <c r="X17" s="1554"/>
      <c r="Y17" s="3412"/>
      <c r="Z17" s="1562"/>
      <c r="AA17" s="1563">
        <v>1</v>
      </c>
      <c r="AB17" s="1563">
        <v>1</v>
      </c>
      <c r="AC17" s="1563">
        <v>1</v>
      </c>
    </row>
    <row r="18" spans="1:29" ht="15">
      <c r="A18" s="532"/>
      <c r="B18" s="2555" t="s">
        <v>2554</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2"/>
      <c r="Q18" s="2543" t="str">
        <f>B18</f>
        <v>基础设施水平</v>
      </c>
      <c r="R18" s="1560" t="s">
        <v>8</v>
      </c>
      <c r="S18" s="1561">
        <f>F18</f>
        <v>100</v>
      </c>
      <c r="T18" s="1560" t="s">
        <v>8</v>
      </c>
      <c r="U18" s="1561">
        <f>H18</f>
        <v>100</v>
      </c>
      <c r="V18" s="1560" t="s">
        <v>8</v>
      </c>
      <c r="W18" s="1561">
        <f>J18</f>
        <v>100</v>
      </c>
      <c r="X18" s="2545"/>
      <c r="Y18" s="3412"/>
      <c r="Z18" s="2544" t="str">
        <f>Q18</f>
        <v>基础设施水平</v>
      </c>
      <c r="AA18" s="1563">
        <f>D18/F18</f>
        <v>1</v>
      </c>
      <c r="AB18" s="1563">
        <f>D18/H18</f>
        <v>1</v>
      </c>
      <c r="AC18" s="1563">
        <f>D18/J18</f>
        <v>1</v>
      </c>
    </row>
    <row r="19" spans="1:29" ht="15">
      <c r="A19" s="532"/>
      <c r="B19" s="578"/>
      <c r="C19" s="873"/>
      <c r="D19" s="559"/>
      <c r="E19" s="873"/>
      <c r="F19" s="563"/>
      <c r="G19" s="873"/>
      <c r="H19" s="555"/>
      <c r="I19" s="576"/>
      <c r="J19" s="555"/>
      <c r="K19" s="2566"/>
      <c r="L19" s="2127"/>
      <c r="M19" s="2119"/>
      <c r="N19" s="2119"/>
      <c r="O19" s="2126"/>
      <c r="P19" s="3412"/>
      <c r="Q19" s="2543"/>
      <c r="R19" s="1560"/>
      <c r="S19" s="1561"/>
      <c r="T19" s="1560"/>
      <c r="U19" s="1561"/>
      <c r="V19" s="1560"/>
      <c r="W19" s="1561"/>
      <c r="X19" s="2545"/>
      <c r="Y19" s="3412"/>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2"/>
      <c r="Q20" s="1559" t="str">
        <f>B20</f>
        <v>自然及人文环境</v>
      </c>
      <c r="R20" s="1560" t="s">
        <v>8</v>
      </c>
      <c r="S20" s="1561">
        <f>F20</f>
        <v>100</v>
      </c>
      <c r="T20" s="1560" t="s">
        <v>8</v>
      </c>
      <c r="U20" s="1561">
        <f>H20</f>
        <v>100</v>
      </c>
      <c r="V20" s="1560" t="s">
        <v>8</v>
      </c>
      <c r="W20" s="1561">
        <f>J20</f>
        <v>100</v>
      </c>
      <c r="X20" s="1554"/>
      <c r="Y20" s="341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12"/>
      <c r="Q21" s="1559"/>
      <c r="R21" s="1560"/>
      <c r="S21" s="1561"/>
      <c r="T21" s="1560"/>
      <c r="U21" s="1561"/>
      <c r="V21" s="1560"/>
      <c r="W21" s="1561"/>
      <c r="X21" s="1554"/>
      <c r="Y21" s="3412"/>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2"/>
      <c r="Q22" s="1559" t="str">
        <f>B22</f>
        <v>楼层</v>
      </c>
      <c r="R22" s="1560" t="s">
        <v>8</v>
      </c>
      <c r="S22" s="1561">
        <f>F22</f>
        <v>100</v>
      </c>
      <c r="T22" s="1560" t="s">
        <v>8</v>
      </c>
      <c r="U22" s="1561">
        <f>H22</f>
        <v>100</v>
      </c>
      <c r="V22" s="1560" t="s">
        <v>8</v>
      </c>
      <c r="W22" s="1561">
        <f>J22</f>
        <v>100</v>
      </c>
      <c r="X22" s="1554"/>
      <c r="Y22" s="341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2"/>
      <c r="Q23" s="1559">
        <f>B23</f>
        <v>111</v>
      </c>
      <c r="R23" s="1560" t="s">
        <v>8</v>
      </c>
      <c r="S23" s="1561">
        <f>F23</f>
        <v>100</v>
      </c>
      <c r="T23" s="1560" t="s">
        <v>8</v>
      </c>
      <c r="U23" s="1561">
        <f>H23</f>
        <v>100</v>
      </c>
      <c r="V23" s="1560" t="s">
        <v>8</v>
      </c>
      <c r="W23" s="1561">
        <f>J23</f>
        <v>100</v>
      </c>
      <c r="X23" s="1554"/>
      <c r="Y23" s="341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2"/>
      <c r="Q24" s="1559">
        <f t="shared" ref="Q24:Q34" si="8">B24</f>
        <v>111</v>
      </c>
      <c r="R24" s="1560" t="s">
        <v>8</v>
      </c>
      <c r="S24" s="1561">
        <f>F24</f>
        <v>100</v>
      </c>
      <c r="T24" s="1560" t="s">
        <v>8</v>
      </c>
      <c r="U24" s="1561">
        <f>H24</f>
        <v>100</v>
      </c>
      <c r="V24" s="1560" t="s">
        <v>8</v>
      </c>
      <c r="W24" s="1561">
        <f>J24</f>
        <v>100</v>
      </c>
      <c r="X24" s="1554"/>
      <c r="Y24" s="341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2"/>
      <c r="Q25" s="1147">
        <f t="shared" si="8"/>
        <v>111</v>
      </c>
      <c r="R25" s="1555" t="s">
        <v>8</v>
      </c>
      <c r="S25" s="1556">
        <f>F25</f>
        <v>100</v>
      </c>
      <c r="T25" s="1555" t="s">
        <v>8</v>
      </c>
      <c r="U25" s="1556">
        <f>H25</f>
        <v>100</v>
      </c>
      <c r="V25" s="1555" t="s">
        <v>8</v>
      </c>
      <c r="W25" s="1556">
        <f>J25</f>
        <v>100</v>
      </c>
      <c r="X25" s="1557"/>
      <c r="Y25" s="3412"/>
      <c r="Z25" s="1146">
        <f>Q25</f>
        <v>111</v>
      </c>
      <c r="AA25" s="1563">
        <f>D25/F25</f>
        <v>1</v>
      </c>
      <c r="AB25" s="1563">
        <f>D25/H25</f>
        <v>1</v>
      </c>
      <c r="AC25" s="1563">
        <f>D25/J25</f>
        <v>1</v>
      </c>
    </row>
    <row r="26" spans="1:29" ht="15">
      <c r="A26" s="2862"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3" t="s">
        <v>821</v>
      </c>
      <c r="Q26" s="1559" t="str">
        <f t="shared" si="8"/>
        <v>公共部分装修</v>
      </c>
      <c r="R26" s="1560" t="s">
        <v>8</v>
      </c>
      <c r="S26" s="1561">
        <f t="shared" ref="S26:S34" si="9">F26</f>
        <v>100</v>
      </c>
      <c r="T26" s="1560" t="s">
        <v>8</v>
      </c>
      <c r="U26" s="1561">
        <f t="shared" ref="U26:U34" si="10">H26</f>
        <v>100</v>
      </c>
      <c r="V26" s="1560" t="s">
        <v>8</v>
      </c>
      <c r="W26" s="1561">
        <f t="shared" ref="W26:W34" si="11">J26</f>
        <v>100</v>
      </c>
      <c r="X26" s="1554"/>
      <c r="Y26" s="3414" t="s">
        <v>821</v>
      </c>
      <c r="Z26" s="1562" t="str">
        <f t="shared" ref="Z26:Z34" si="12">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4"/>
      <c r="Q27" s="1591" t="str">
        <f t="shared" si="8"/>
        <v>成新率</v>
      </c>
      <c r="R27" s="1564" t="s">
        <v>8</v>
      </c>
      <c r="S27" s="1565" t="e">
        <f t="shared" si="9"/>
        <v>#N/A</v>
      </c>
      <c r="T27" s="1564" t="s">
        <v>8</v>
      </c>
      <c r="U27" s="1565" t="e">
        <f t="shared" si="10"/>
        <v>#N/A</v>
      </c>
      <c r="V27" s="1564" t="s">
        <v>8</v>
      </c>
      <c r="W27" s="1565" t="e">
        <f t="shared" si="11"/>
        <v>#N/A</v>
      </c>
      <c r="X27" s="1566"/>
      <c r="Y27" s="3414"/>
      <c r="Z27" s="1567" t="str">
        <f t="shared" si="12"/>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4"/>
      <c r="Q28" s="1559" t="str">
        <f t="shared" si="8"/>
        <v>物业等级</v>
      </c>
      <c r="R28" s="1560" t="s">
        <v>8</v>
      </c>
      <c r="S28" s="1561">
        <f t="shared" si="9"/>
        <v>100</v>
      </c>
      <c r="T28" s="1560" t="s">
        <v>8</v>
      </c>
      <c r="U28" s="1561">
        <f t="shared" si="10"/>
        <v>100</v>
      </c>
      <c r="V28" s="1560" t="s">
        <v>8</v>
      </c>
      <c r="W28" s="1561">
        <f t="shared" si="11"/>
        <v>100</v>
      </c>
      <c r="X28" s="1554"/>
      <c r="Y28" s="3414"/>
      <c r="Z28" s="1562" t="str">
        <f t="shared" si="12"/>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4"/>
      <c r="Q29" s="1559" t="str">
        <f t="shared" si="8"/>
        <v>有无电梯</v>
      </c>
      <c r="R29" s="1560" t="s">
        <v>8</v>
      </c>
      <c r="S29" s="1561">
        <f t="shared" si="9"/>
        <v>100</v>
      </c>
      <c r="T29" s="1560" t="s">
        <v>8</v>
      </c>
      <c r="U29" s="1561">
        <f t="shared" si="10"/>
        <v>100</v>
      </c>
      <c r="V29" s="1560" t="s">
        <v>8</v>
      </c>
      <c r="W29" s="1561">
        <f t="shared" si="11"/>
        <v>100</v>
      </c>
      <c r="X29" s="1554"/>
      <c r="Y29" s="3414"/>
      <c r="Z29" s="1562" t="str">
        <f t="shared" si="12"/>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4"/>
      <c r="Q30" s="1559" t="str">
        <f t="shared" si="8"/>
        <v>建筑面积</v>
      </c>
      <c r="R30" s="1560" t="s">
        <v>8</v>
      </c>
      <c r="S30" s="1561" t="e">
        <f t="shared" si="9"/>
        <v>#N/A</v>
      </c>
      <c r="T30" s="1560" t="s">
        <v>8</v>
      </c>
      <c r="U30" s="1561" t="e">
        <f t="shared" si="10"/>
        <v>#N/A</v>
      </c>
      <c r="V30" s="1560" t="s">
        <v>8</v>
      </c>
      <c r="W30" s="1561" t="e">
        <f t="shared" si="11"/>
        <v>#N/A</v>
      </c>
      <c r="X30" s="1554"/>
      <c r="Y30" s="3414"/>
      <c r="Z30" s="1562" t="str">
        <f t="shared" si="12"/>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4"/>
      <c r="Q31" s="1147" t="str">
        <f t="shared" si="8"/>
        <v>是否封闭</v>
      </c>
      <c r="R31" s="1555" t="s">
        <v>8</v>
      </c>
      <c r="S31" s="1556">
        <f t="shared" si="9"/>
        <v>100</v>
      </c>
      <c r="T31" s="1555" t="s">
        <v>8</v>
      </c>
      <c r="U31" s="1556">
        <f t="shared" si="10"/>
        <v>100</v>
      </c>
      <c r="V31" s="1555" t="s">
        <v>8</v>
      </c>
      <c r="W31" s="1556">
        <f t="shared" si="11"/>
        <v>100</v>
      </c>
      <c r="X31" s="1557"/>
      <c r="Y31" s="3414"/>
      <c r="Z31" s="1146" t="str">
        <f t="shared" si="12"/>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4" t="s">
        <v>550</v>
      </c>
      <c r="Q32" s="1559">
        <f t="shared" si="8"/>
        <v>111</v>
      </c>
      <c r="R32" s="1560" t="s">
        <v>8</v>
      </c>
      <c r="S32" s="1561">
        <f t="shared" si="9"/>
        <v>100</v>
      </c>
      <c r="T32" s="1560" t="s">
        <v>8</v>
      </c>
      <c r="U32" s="1561">
        <f t="shared" si="10"/>
        <v>100</v>
      </c>
      <c r="V32" s="1560" t="s">
        <v>8</v>
      </c>
      <c r="W32" s="1561">
        <f t="shared" si="11"/>
        <v>100</v>
      </c>
      <c r="X32" s="1554"/>
      <c r="Y32" s="3414" t="s">
        <v>550</v>
      </c>
      <c r="Z32" s="1562">
        <f t="shared" si="12"/>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4"/>
      <c r="Q33" s="1559">
        <f t="shared" si="8"/>
        <v>111</v>
      </c>
      <c r="R33" s="1560" t="s">
        <v>8</v>
      </c>
      <c r="S33" s="1561">
        <f t="shared" si="9"/>
        <v>100</v>
      </c>
      <c r="T33" s="1560" t="s">
        <v>8</v>
      </c>
      <c r="U33" s="1561">
        <f t="shared" si="10"/>
        <v>100</v>
      </c>
      <c r="V33" s="1560" t="s">
        <v>8</v>
      </c>
      <c r="W33" s="1561">
        <f t="shared" si="11"/>
        <v>100</v>
      </c>
      <c r="X33" s="1554"/>
      <c r="Y33" s="3414"/>
      <c r="Z33" s="1562">
        <f t="shared" si="12"/>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4"/>
      <c r="Q34" s="1559">
        <f t="shared" si="8"/>
        <v>111</v>
      </c>
      <c r="R34" s="1560" t="s">
        <v>8</v>
      </c>
      <c r="S34" s="1561">
        <f t="shared" si="9"/>
        <v>100</v>
      </c>
      <c r="T34" s="1560" t="s">
        <v>8</v>
      </c>
      <c r="U34" s="1561">
        <f t="shared" si="10"/>
        <v>100</v>
      </c>
      <c r="V34" s="1560" t="s">
        <v>8</v>
      </c>
      <c r="W34" s="1561">
        <f t="shared" si="11"/>
        <v>100</v>
      </c>
      <c r="X34" s="1554"/>
      <c r="Y34" s="3414"/>
      <c r="Z34" s="1562">
        <f t="shared" si="12"/>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409" t="str">
        <f>A35</f>
        <v>成交单价（元/平方米）</v>
      </c>
      <c r="Q35" s="3409"/>
      <c r="R35" s="3517">
        <f>E35</f>
        <v>0</v>
      </c>
      <c r="S35" s="3517"/>
      <c r="T35" s="3517">
        <f>G35</f>
        <v>0</v>
      </c>
      <c r="U35" s="3517"/>
      <c r="V35" s="3517">
        <f>I35</f>
        <v>0</v>
      </c>
      <c r="W35" s="3517"/>
      <c r="X35" s="1546"/>
      <c r="Y35" s="1568"/>
      <c r="Z35" s="1546"/>
      <c r="AA35" s="1546"/>
      <c r="AB35" s="1546"/>
      <c r="AC35" s="1546"/>
    </row>
    <row r="36" spans="1:29" ht="15.75" thickBot="1">
      <c r="A36" s="615" t="s">
        <v>2754</v>
      </c>
      <c r="B36" s="888"/>
      <c r="C36" s="2597" t="e">
        <f>R37</f>
        <v>#DIV/0!</v>
      </c>
      <c r="D36" s="2598"/>
      <c r="E36" s="2599" t="e">
        <f>R36</f>
        <v>#DIV/0!</v>
      </c>
      <c r="F36" s="2599"/>
      <c r="G36" s="2597" t="e">
        <f>T36</f>
        <v>#DIV/0!</v>
      </c>
      <c r="H36" s="2598"/>
      <c r="I36" s="2599" t="e">
        <f>V36</f>
        <v>#DIV/0!</v>
      </c>
      <c r="J36" s="2598"/>
      <c r="K36" s="1598"/>
      <c r="L36" s="2129"/>
      <c r="M36" s="2130"/>
      <c r="N36" s="2119"/>
      <c r="O36" s="2130"/>
      <c r="P36" s="3409" t="str">
        <f>A36</f>
        <v>比较价格（元/平方米）</v>
      </c>
      <c r="Q36" s="3409"/>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75" thickBot="1">
      <c r="A37" s="621" t="s">
        <v>2918</v>
      </c>
      <c r="B37" s="622"/>
      <c r="C37" s="2600" t="e">
        <f>R37</f>
        <v>#DIV/0!</v>
      </c>
      <c r="D37" s="2600"/>
      <c r="E37" s="2600"/>
      <c r="F37" s="2600"/>
      <c r="G37" s="2600"/>
      <c r="H37" s="2600"/>
      <c r="I37" s="2600"/>
      <c r="J37" s="2600"/>
      <c r="K37" s="1599"/>
      <c r="L37" s="2129"/>
      <c r="M37" s="2130"/>
      <c r="N37" s="2130"/>
      <c r="O37" s="2130"/>
      <c r="P37" s="3431" t="str">
        <f>A37</f>
        <v>估价对象XX用房的比较价格（楼面单价，元/平方米）</v>
      </c>
      <c r="Q37" s="3432"/>
      <c r="R37" s="3516" t="e">
        <f>IF(F1="售价",ROUND(AVERAGE(R36:V36),0),ROUND(AVERAGE(R36:V36),1))</f>
        <v>#DIV/0!</v>
      </c>
      <c r="S37" s="3516"/>
      <c r="T37" s="3516"/>
      <c r="U37" s="3516"/>
      <c r="V37" s="3516"/>
      <c r="W37" s="3516"/>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2020-3</v>
      </c>
      <c r="D46" s="2759">
        <f>EDATE(C46,-1)</f>
        <v>43862</v>
      </c>
      <c r="E46" s="2759">
        <f t="shared" ref="E46:O46" si="13">EDATE(D46,-1)</f>
        <v>43831</v>
      </c>
      <c r="F46" s="2759">
        <f t="shared" si="13"/>
        <v>43800</v>
      </c>
      <c r="G46" s="2759">
        <f t="shared" si="13"/>
        <v>43770</v>
      </c>
      <c r="H46" s="2759">
        <f t="shared" si="13"/>
        <v>43739</v>
      </c>
      <c r="I46" s="2759">
        <f t="shared" si="13"/>
        <v>43709</v>
      </c>
      <c r="J46" s="2759">
        <f t="shared" si="13"/>
        <v>43678</v>
      </c>
      <c r="K46" s="2759">
        <f t="shared" si="13"/>
        <v>43647</v>
      </c>
      <c r="L46" s="2759">
        <f t="shared" si="13"/>
        <v>43617</v>
      </c>
      <c r="M46" s="2759">
        <f t="shared" si="13"/>
        <v>43586</v>
      </c>
      <c r="N46" s="2759">
        <f t="shared" si="13"/>
        <v>43556</v>
      </c>
      <c r="O46" s="2759">
        <f t="shared" si="13"/>
        <v>43525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2553</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2554</v>
      </c>
      <c r="C65" s="2562" t="s">
        <v>2555</v>
      </c>
      <c r="D65" s="2562" t="s">
        <v>2556</v>
      </c>
      <c r="E65" s="2562" t="s">
        <v>2557</v>
      </c>
      <c r="F65" s="2562" t="s">
        <v>2558</v>
      </c>
      <c r="G65" s="2562" t="s">
        <v>2559</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2299</v>
      </c>
      <c r="C1" s="3533" t="s">
        <v>2300</v>
      </c>
      <c r="D1" s="3534"/>
      <c r="E1" s="3534"/>
      <c r="F1" s="3534"/>
      <c r="G1" s="3534"/>
      <c r="H1" s="3534"/>
      <c r="I1" s="3534"/>
      <c r="J1" s="3534"/>
      <c r="K1" s="3534"/>
      <c r="L1" s="3534"/>
      <c r="M1" s="3534"/>
      <c r="N1" s="3534"/>
      <c r="O1" s="3534"/>
      <c r="P1" s="3534"/>
      <c r="Q1" s="3534"/>
      <c r="R1" s="3534"/>
      <c r="S1" s="3535"/>
      <c r="T1" s="2219" t="s">
        <v>2301</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2911</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2">D6-$T5</f>
        <v>100</v>
      </c>
      <c r="F6" s="1954">
        <f t="shared" si="2"/>
        <v>100</v>
      </c>
      <c r="G6" s="1954">
        <f t="shared" si="2"/>
        <v>100</v>
      </c>
      <c r="H6" s="1954">
        <f t="shared" si="2"/>
        <v>100</v>
      </c>
      <c r="I6" s="1954">
        <f t="shared" si="2"/>
        <v>100</v>
      </c>
      <c r="J6" s="1954">
        <f t="shared" si="2"/>
        <v>100</v>
      </c>
      <c r="K6" s="1954">
        <f t="shared" si="2"/>
        <v>100</v>
      </c>
      <c r="L6" s="1954">
        <f t="shared" si="2"/>
        <v>100</v>
      </c>
      <c r="M6" s="1954">
        <f t="shared" si="2"/>
        <v>100</v>
      </c>
      <c r="N6" s="1954">
        <f t="shared" si="2"/>
        <v>100</v>
      </c>
      <c r="O6" s="1954">
        <f t="shared" si="2"/>
        <v>100</v>
      </c>
      <c r="P6" s="1954">
        <f t="shared" si="2"/>
        <v>100</v>
      </c>
      <c r="Q6" s="1954">
        <f t="shared" si="2"/>
        <v>100</v>
      </c>
      <c r="R6" s="1954">
        <f t="shared" si="2"/>
        <v>100</v>
      </c>
      <c r="S6" s="1954">
        <f t="shared" si="2"/>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2910</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3">D8-$T7</f>
        <v>100</v>
      </c>
      <c r="F8" s="1954">
        <f t="shared" si="3"/>
        <v>100</v>
      </c>
      <c r="G8" s="1954">
        <f t="shared" si="3"/>
        <v>100</v>
      </c>
      <c r="H8" s="1954">
        <f t="shared" si="3"/>
        <v>100</v>
      </c>
      <c r="I8" s="1954">
        <f t="shared" si="3"/>
        <v>100</v>
      </c>
      <c r="J8" s="1954">
        <f t="shared" si="3"/>
        <v>100</v>
      </c>
      <c r="K8" s="1954">
        <f t="shared" si="3"/>
        <v>100</v>
      </c>
      <c r="L8" s="1954">
        <f t="shared" si="3"/>
        <v>100</v>
      </c>
      <c r="M8" s="1954">
        <f t="shared" si="3"/>
        <v>100</v>
      </c>
      <c r="N8" s="1954">
        <f t="shared" si="3"/>
        <v>100</v>
      </c>
      <c r="O8" s="1954">
        <f t="shared" si="3"/>
        <v>100</v>
      </c>
      <c r="P8" s="1954">
        <f t="shared" si="3"/>
        <v>100</v>
      </c>
      <c r="Q8" s="1954">
        <f t="shared" si="3"/>
        <v>100</v>
      </c>
      <c r="R8" s="1954">
        <f t="shared" si="3"/>
        <v>100</v>
      </c>
      <c r="S8" s="1954">
        <f t="shared" si="3"/>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2909</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4">D10-$T9</f>
        <v>100</v>
      </c>
      <c r="F10" s="2252">
        <f t="shared" si="4"/>
        <v>100</v>
      </c>
      <c r="G10" s="2252">
        <f t="shared" si="4"/>
        <v>100</v>
      </c>
      <c r="H10" s="2252">
        <f t="shared" si="4"/>
        <v>100</v>
      </c>
      <c r="I10" s="2252">
        <f t="shared" si="4"/>
        <v>100</v>
      </c>
      <c r="J10" s="2252">
        <f t="shared" si="4"/>
        <v>100</v>
      </c>
      <c r="K10" s="2252">
        <f t="shared" si="4"/>
        <v>100</v>
      </c>
      <c r="L10" s="2252">
        <f t="shared" si="4"/>
        <v>100</v>
      </c>
      <c r="M10" s="2252">
        <f t="shared" si="4"/>
        <v>100</v>
      </c>
      <c r="N10" s="2252">
        <f t="shared" si="4"/>
        <v>100</v>
      </c>
      <c r="O10" s="2252">
        <f t="shared" si="4"/>
        <v>100</v>
      </c>
      <c r="P10" s="2252">
        <f t="shared" si="4"/>
        <v>100</v>
      </c>
      <c r="Q10" s="2252">
        <f t="shared" si="4"/>
        <v>100</v>
      </c>
      <c r="R10" s="2252">
        <f t="shared" si="4"/>
        <v>100</v>
      </c>
      <c r="S10" s="2252">
        <f t="shared" si="4"/>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2922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5">D12-$T11</f>
        <v>100</v>
      </c>
      <c r="F12" s="1954">
        <f t="shared" si="5"/>
        <v>100</v>
      </c>
      <c r="G12" s="1954">
        <f t="shared" si="5"/>
        <v>100</v>
      </c>
      <c r="H12" s="1954">
        <f t="shared" si="5"/>
        <v>100</v>
      </c>
      <c r="I12" s="1954">
        <f t="shared" si="5"/>
        <v>100</v>
      </c>
      <c r="J12" s="1954">
        <f t="shared" si="5"/>
        <v>100</v>
      </c>
      <c r="K12" s="1954">
        <f t="shared" si="5"/>
        <v>100</v>
      </c>
      <c r="L12" s="1954">
        <f t="shared" si="5"/>
        <v>100</v>
      </c>
      <c r="M12" s="1954">
        <f t="shared" si="5"/>
        <v>100</v>
      </c>
      <c r="N12" s="1954">
        <f t="shared" si="5"/>
        <v>100</v>
      </c>
      <c r="O12" s="1954">
        <f t="shared" si="5"/>
        <v>100</v>
      </c>
      <c r="P12" s="1954">
        <f t="shared" si="5"/>
        <v>100</v>
      </c>
      <c r="Q12" s="1954">
        <f t="shared" si="5"/>
        <v>100</v>
      </c>
      <c r="R12" s="1954">
        <f t="shared" si="5"/>
        <v>100</v>
      </c>
      <c r="S12" s="1954">
        <f t="shared" si="5"/>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2908</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2907</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2303</v>
      </c>
      <c r="B17" s="2263" t="s">
        <v>2304</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30" t="s">
        <v>20</v>
      </c>
      <c r="D22" s="3531"/>
      <c r="E22" s="3531"/>
      <c r="F22" s="3531"/>
      <c r="G22" s="3531"/>
      <c r="H22" s="3531"/>
      <c r="I22" s="3531"/>
      <c r="J22" s="3531"/>
      <c r="K22" s="3531"/>
      <c r="L22" s="3531"/>
      <c r="M22" s="3531"/>
      <c r="N22" s="3531"/>
      <c r="O22" s="3531"/>
      <c r="P22" s="3531"/>
      <c r="Q22" s="3532"/>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2782</v>
      </c>
      <c r="C1" s="2959">
        <f>项目基本情况!D3</f>
        <v>43910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2813</v>
      </c>
      <c r="C2" s="2960">
        <f>'数据-取费表'!B22</f>
        <v>2.5</v>
      </c>
      <c r="D2" s="2955" t="s">
        <v>2783</v>
      </c>
      <c r="E2" s="2958">
        <f ca="1">INDIRECT("I"&amp;$I$1)/100</f>
        <v>4.7500000000000001E-2</v>
      </c>
      <c r="G2" s="2895"/>
      <c r="H2" s="2895"/>
      <c r="I2" s="2895" t="s">
        <v>2784</v>
      </c>
      <c r="K2" s="2895"/>
      <c r="L2" s="2895"/>
      <c r="M2" s="2895"/>
      <c r="N2" s="2895" t="s">
        <v>2785</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2815</v>
      </c>
      <c r="C3" s="2957">
        <f>'数据-取费表'!B19</f>
        <v>0</v>
      </c>
      <c r="D3" s="2955" t="s">
        <v>2783</v>
      </c>
      <c r="E3" s="2958">
        <f ca="1">INDIRECT("J"&amp;$J$1)/100</f>
        <v>0</v>
      </c>
      <c r="G3" s="2897" t="s">
        <v>2786</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2814</v>
      </c>
      <c r="C4" s="2958">
        <f ca="1">N4/100</f>
        <v>1.4999999999999999E-2</v>
      </c>
      <c r="G4" s="2903" t="s">
        <v>2787</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2788</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2789</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2790</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2791</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2792</v>
      </c>
      <c r="C10" s="2922"/>
      <c r="D10" s="2922"/>
      <c r="E10" s="2922"/>
      <c r="F10" s="2922"/>
      <c r="G10" s="2922"/>
      <c r="H10" s="2922"/>
      <c r="I10" s="2896"/>
      <c r="J10" s="2896"/>
      <c r="K10" s="2922"/>
      <c r="L10" s="2923" t="s">
        <v>2793</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2794</v>
      </c>
      <c r="C11" s="2927" t="s">
        <v>2795</v>
      </c>
      <c r="D11" s="2928" t="s">
        <v>2796</v>
      </c>
      <c r="E11" s="2929"/>
      <c r="F11" s="2928" t="s">
        <v>2797</v>
      </c>
      <c r="G11" s="2930"/>
      <c r="H11" s="2929"/>
      <c r="I11" s="2928" t="s">
        <v>2798</v>
      </c>
      <c r="J11" s="2929"/>
      <c r="K11" s="2925"/>
      <c r="L11" s="2926" t="s">
        <v>2794</v>
      </c>
      <c r="M11" s="2927" t="s">
        <v>2795</v>
      </c>
      <c r="N11" s="2926" t="s">
        <v>2799</v>
      </c>
      <c r="O11" s="2928" t="s">
        <v>2800</v>
      </c>
      <c r="P11" s="2930"/>
      <c r="Q11" s="2930"/>
      <c r="R11" s="2930"/>
      <c r="S11" s="2930"/>
      <c r="T11" s="2929"/>
      <c r="U11" s="2928" t="s">
        <v>2801</v>
      </c>
      <c r="V11" s="2930"/>
      <c r="W11" s="2929"/>
      <c r="X11" s="2926" t="s">
        <v>2802</v>
      </c>
      <c r="Y11" s="2926" t="s">
        <v>2803</v>
      </c>
      <c r="Z11" s="2926" t="s">
        <v>2804</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2805</v>
      </c>
      <c r="E12" s="2935" t="s">
        <v>2806</v>
      </c>
      <c r="F12" s="2935" t="s">
        <v>2807</v>
      </c>
      <c r="G12" s="2935" t="s">
        <v>2808</v>
      </c>
      <c r="H12" s="2935" t="s">
        <v>2790</v>
      </c>
      <c r="I12" s="2936" t="s">
        <v>2809</v>
      </c>
      <c r="J12" s="2936" t="s">
        <v>2809</v>
      </c>
      <c r="K12" s="2932"/>
      <c r="L12" s="2933"/>
      <c r="M12" s="2934"/>
      <c r="N12" s="2933"/>
      <c r="O12" s="2936" t="s">
        <v>2810</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2811</v>
      </c>
      <c r="C13" s="2940">
        <v>42301</v>
      </c>
      <c r="D13" s="2941">
        <v>4.3499999999999996</v>
      </c>
      <c r="E13" s="2941">
        <v>4.3499999999999996</v>
      </c>
      <c r="F13" s="2941">
        <v>4.75</v>
      </c>
      <c r="G13" s="2941">
        <v>4.75</v>
      </c>
      <c r="H13" s="2941">
        <v>4.9000000000000004</v>
      </c>
      <c r="I13" s="2941">
        <v>2.75</v>
      </c>
      <c r="J13" s="2941">
        <v>3.25</v>
      </c>
      <c r="K13" s="2938"/>
      <c r="L13" s="2939" t="s">
        <v>2811</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2812</v>
      </c>
      <c r="Y42" s="2945" t="s">
        <v>2812</v>
      </c>
      <c r="Z42" s="2945" t="s">
        <v>2812</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2812</v>
      </c>
      <c r="Y43" s="2945" t="s">
        <v>2812</v>
      </c>
      <c r="Z43" s="2945" t="s">
        <v>2812</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2812</v>
      </c>
      <c r="Y44" s="2945" t="s">
        <v>2812</v>
      </c>
      <c r="Z44" s="2945" t="s">
        <v>2812</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2812</v>
      </c>
      <c r="Y45" s="2945" t="s">
        <v>2812</v>
      </c>
      <c r="Z45" s="2945" t="s">
        <v>2812</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2812</v>
      </c>
      <c r="Y46" s="2945" t="s">
        <v>2812</v>
      </c>
      <c r="Z46" s="2945" t="s">
        <v>2812</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2812</v>
      </c>
      <c r="Y47" s="2945" t="s">
        <v>2812</v>
      </c>
      <c r="Z47" s="2945" t="s">
        <v>2812</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2812</v>
      </c>
      <c r="Y48" s="2945" t="s">
        <v>2812</v>
      </c>
      <c r="Z48" s="2945" t="s">
        <v>2812</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2812</v>
      </c>
      <c r="Y49" s="2945" t="s">
        <v>2812</v>
      </c>
      <c r="Z49" s="2945" t="s">
        <v>2812</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2812</v>
      </c>
      <c r="Y50" s="2945" t="s">
        <v>2812</v>
      </c>
      <c r="Z50" s="2945" t="s">
        <v>2812</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2812</v>
      </c>
      <c r="V51" s="2945" t="s">
        <v>2812</v>
      </c>
      <c r="W51" s="2945" t="s">
        <v>2812</v>
      </c>
      <c r="X51" s="2945" t="s">
        <v>2812</v>
      </c>
      <c r="Y51" s="2945" t="s">
        <v>2812</v>
      </c>
      <c r="Z51" s="2945" t="s">
        <v>2812</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2812</v>
      </c>
      <c r="J55" s="2945" t="s">
        <v>2812</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2034</v>
      </c>
      <c r="B1" s="3233"/>
      <c r="C1" s="3233"/>
      <c r="D1" s="3233"/>
      <c r="E1" s="3233"/>
      <c r="F1" s="3233"/>
      <c r="G1" s="3233"/>
      <c r="H1" s="3233"/>
      <c r="I1" s="3233"/>
      <c r="J1" s="3233"/>
      <c r="K1" s="3233"/>
      <c r="L1" s="3233"/>
      <c r="M1" s="3233"/>
      <c r="N1" s="3233"/>
      <c r="O1" s="3233"/>
      <c r="P1" s="3233"/>
      <c r="Q1" s="3233"/>
      <c r="R1" s="3233"/>
    </row>
    <row r="2" spans="1:18">
      <c r="A2" s="1792" t="s">
        <v>2036</v>
      </c>
      <c r="B2" s="1792"/>
      <c r="C2" s="1792"/>
      <c r="D2" s="1792"/>
      <c r="E2" s="1792"/>
      <c r="F2" s="1792"/>
      <c r="G2" s="1792"/>
      <c r="H2" s="1792"/>
      <c r="I2" s="1793"/>
      <c r="J2" s="1793"/>
      <c r="K2" s="1794" t="str">
        <f>"估价期日："&amp;TEXT(项目基本情况!D3,"yyyy年m月d日;;")</f>
        <v>估价期日：2020年3月20日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4" t="s">
        <v>2025</v>
      </c>
      <c r="B3" s="3234" t="s">
        <v>2725</v>
      </c>
      <c r="C3" s="3235" t="s">
        <v>2026</v>
      </c>
      <c r="D3" s="3234" t="s">
        <v>2729</v>
      </c>
      <c r="E3" s="3229" t="s">
        <v>2027</v>
      </c>
      <c r="F3" s="3229"/>
      <c r="G3" s="3229"/>
      <c r="H3" s="3229" t="s">
        <v>2028</v>
      </c>
      <c r="I3" s="3229"/>
      <c r="J3" s="3229"/>
      <c r="K3" s="3235" t="s">
        <v>2029</v>
      </c>
      <c r="L3" s="3235" t="s">
        <v>2030</v>
      </c>
      <c r="M3" s="3234" t="s">
        <v>2726</v>
      </c>
      <c r="N3" s="3236" t="str">
        <f>"（分摊）"&amp;项目基本情况!B16&amp;"国有建设用地使用权面积/㎡"</f>
        <v>（分摊）出让国有建设用地使用权面积/㎡</v>
      </c>
      <c r="O3" s="3234" t="s">
        <v>2059</v>
      </c>
      <c r="P3" s="3235" t="s">
        <v>2039</v>
      </c>
      <c r="Q3" s="3235" t="s">
        <v>2060</v>
      </c>
      <c r="R3" s="3235" t="s">
        <v>2031</v>
      </c>
    </row>
    <row r="4" spans="1:18" ht="36.75" customHeight="1">
      <c r="A4" s="3234"/>
      <c r="B4" s="3234"/>
      <c r="C4" s="3235"/>
      <c r="D4" s="3234"/>
      <c r="E4" s="2613" t="s">
        <v>2038</v>
      </c>
      <c r="F4" s="2613" t="s">
        <v>2738</v>
      </c>
      <c r="G4" s="2613" t="s">
        <v>2032</v>
      </c>
      <c r="H4" s="2613" t="s">
        <v>2033</v>
      </c>
      <c r="I4" s="2613" t="s">
        <v>2739</v>
      </c>
      <c r="J4" s="2613" t="s">
        <v>2032</v>
      </c>
      <c r="K4" s="3235"/>
      <c r="L4" s="3235"/>
      <c r="M4" s="3234"/>
      <c r="N4" s="3236"/>
      <c r="O4" s="3234"/>
      <c r="P4" s="3235"/>
      <c r="Q4" s="3235"/>
      <c r="R4" s="3235"/>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0</v>
      </c>
      <c r="N5" s="1795">
        <f>项目基本情况!C22</f>
        <v>21023.4</v>
      </c>
      <c r="O5" s="1795">
        <f>项目基本情况!C21</f>
        <v>63070</v>
      </c>
      <c r="P5" s="1795">
        <f ca="1">结果表!E42</f>
        <v>140856</v>
      </c>
      <c r="Q5" s="1795">
        <f ca="1">结果表!D42</f>
        <v>46952</v>
      </c>
      <c r="R5" s="1796">
        <f ca="1">结果表!C42</f>
        <v>296127</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797">
        <f ca="1">结果表!O39</f>
        <v>296127</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797" t="str">
        <f>结果表!O40</f>
        <v>——</v>
      </c>
    </row>
    <row r="8" spans="1:18">
      <c r="A8" s="3230" t="str">
        <f>IF(项目基本情况!B9="市场价格","——",项目基本情况!E9)</f>
        <v>——</v>
      </c>
      <c r="B8" s="3231"/>
      <c r="C8" s="3231"/>
      <c r="D8" s="3231"/>
      <c r="E8" s="3231"/>
      <c r="F8" s="3231"/>
      <c r="G8" s="3231"/>
      <c r="H8" s="3231"/>
      <c r="I8" s="3231"/>
      <c r="J8" s="3231"/>
      <c r="K8" s="3231"/>
      <c r="L8" s="3231"/>
      <c r="M8" s="3231"/>
      <c r="N8" s="3231"/>
      <c r="O8" s="3231"/>
      <c r="P8" s="3231"/>
      <c r="Q8" s="3232"/>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7" t="s">
        <v>2061</v>
      </c>
      <c r="B1" s="3237"/>
      <c r="C1" s="3237"/>
      <c r="D1" s="3237"/>
    </row>
    <row r="2" spans="1:4" ht="47.25" customHeight="1">
      <c r="A2" s="3241" t="str">
        <f>"1.权利限制："&amp;项目基本情况!L24&amp;"未设定租赁等其他他项权利。"</f>
        <v>1.权利限制：根据估价对象《不动产权证书》复印件、《国有土地使用权》复印件，截至估价期日，估价对象抵押权未见登记。未设定租赁等其他他项权利。</v>
      </c>
      <c r="B2" s="3241"/>
      <c r="C2" s="3241"/>
      <c r="D2" s="3241"/>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7"/>
      <c r="C3" s="3237"/>
      <c r="D3" s="3237"/>
    </row>
    <row r="4" spans="1:4" ht="36.75" customHeight="1">
      <c r="A4" s="3237" t="str">
        <f>"3.估价规划限制条件：详见"&amp;项目基本情况!E21&amp;"。"</f>
        <v>3.估价规划限制条件：详见《国有建设用地使用权出让合同》[电子监管号：1101002019B02868]及附件。</v>
      </c>
      <c r="B4" s="3237"/>
      <c r="C4" s="3237"/>
      <c r="D4" s="3237"/>
    </row>
    <row r="5" spans="1:4">
      <c r="A5" s="3240" t="s">
        <v>2062</v>
      </c>
      <c r="B5" s="3240"/>
      <c r="C5" s="3240"/>
      <c r="D5" s="3240"/>
    </row>
    <row r="6" spans="1:4">
      <c r="A6" s="3237" t="s">
        <v>2040</v>
      </c>
      <c r="B6" s="3237"/>
      <c r="C6" s="3237"/>
      <c r="D6" s="3237"/>
    </row>
    <row r="7" spans="1:4" ht="33" customHeight="1">
      <c r="A7" s="3237" t="s">
        <v>2570</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（1）根据估价对象《不动产权证书》复印件、《国有土地使用权》复印件，截至估价期日，估价对象抵押权未见登记。</v>
      </c>
      <c r="B11" s="3239"/>
      <c r="C11" s="3239"/>
      <c r="D11" s="3239"/>
    </row>
    <row r="12" spans="1:4" ht="168" customHeight="1">
      <c r="A12" s="3240" t="s">
        <v>2064</v>
      </c>
      <c r="B12" s="3240"/>
      <c r="C12" s="3240"/>
      <c r="D12" s="3240"/>
    </row>
    <row r="13" spans="1:4">
      <c r="A13" s="3238" t="s">
        <v>2740</v>
      </c>
      <c r="B13" s="3238"/>
      <c r="C13" s="3238"/>
      <c r="D13" s="3238"/>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2696</v>
      </c>
      <c r="B17" s="3237"/>
      <c r="C17" s="3237"/>
      <c r="D17" s="3237"/>
    </row>
    <row r="18" spans="1:4">
      <c r="A18" s="3237" t="s">
        <v>2688</v>
      </c>
      <c r="B18" s="3237"/>
      <c r="C18" s="3237"/>
      <c r="D18" s="3237"/>
    </row>
    <row r="19" spans="1:4">
      <c r="A19" s="2823" t="s">
        <v>2689</v>
      </c>
      <c r="B19" s="2823" t="s">
        <v>2690</v>
      </c>
      <c r="C19" s="2823" t="s">
        <v>2691</v>
      </c>
      <c r="D19" s="2823" t="s">
        <v>2692</v>
      </c>
    </row>
    <row r="20" spans="1:4">
      <c r="A20" s="2823" t="str">
        <f>项目基本情况!B4</f>
        <v>吴薇</v>
      </c>
      <c r="B20" s="2823">
        <f ca="1">项目基本情况!C4</f>
        <v>2002110125</v>
      </c>
      <c r="C20" s="2825"/>
      <c r="D20" s="1785" t="s">
        <v>2697</v>
      </c>
    </row>
    <row r="21" spans="1:4">
      <c r="A21" s="2823" t="str">
        <f>项目基本情况!D4</f>
        <v>郑燚</v>
      </c>
      <c r="B21" s="2823">
        <f ca="1">项目基本情况!E4</f>
        <v>2014110011</v>
      </c>
      <c r="C21" s="2825"/>
      <c r="D21" s="1785" t="s">
        <v>2698</v>
      </c>
    </row>
    <row r="23" spans="1:4">
      <c r="A23" s="3237" t="s">
        <v>2693</v>
      </c>
      <c r="B23" s="3237"/>
      <c r="C23" s="3237"/>
      <c r="D23" s="3237"/>
    </row>
    <row r="24" spans="1:4">
      <c r="A24" s="2823" t="s">
        <v>2689</v>
      </c>
      <c r="B24" s="2823" t="s">
        <v>2694</v>
      </c>
      <c r="C24" s="2823" t="s">
        <v>2691</v>
      </c>
      <c r="D24" s="2823" t="s">
        <v>2692</v>
      </c>
    </row>
    <row r="25" spans="1:4">
      <c r="A25" s="2826" t="s">
        <v>2695</v>
      </c>
      <c r="B25" s="2823" t="s">
        <v>952</v>
      </c>
      <c r="C25" s="2825"/>
      <c r="D25" s="1785" t="s">
        <v>2698</v>
      </c>
    </row>
    <row r="29" spans="1:4">
      <c r="D29" s="2824" t="s">
        <v>2035</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49" t="s">
        <v>53</v>
      </c>
      <c r="B15" s="3250" t="s">
        <v>846</v>
      </c>
      <c r="C15" s="3246"/>
    </row>
    <row r="16" spans="1:7" ht="14.25">
      <c r="A16" s="3249"/>
      <c r="B16" s="3247" t="s">
        <v>54</v>
      </c>
      <c r="C16" s="1168" t="s">
        <v>53</v>
      </c>
    </row>
    <row r="17" spans="1:3" ht="14.25">
      <c r="A17" s="3249"/>
      <c r="B17" s="3247"/>
      <c r="C17" s="1168" t="s">
        <v>55</v>
      </c>
    </row>
    <row r="18" spans="1:3" ht="14.25">
      <c r="A18" s="3249"/>
      <c r="B18" s="3247"/>
      <c r="C18" s="1168" t="s">
        <v>56</v>
      </c>
    </row>
    <row r="19" spans="1:3" ht="14.25">
      <c r="A19" s="3249"/>
      <c r="B19" s="3245" t="s">
        <v>57</v>
      </c>
      <c r="C19" s="3246"/>
    </row>
    <row r="20" spans="1:3" ht="14.25">
      <c r="A20" s="1169" t="s">
        <v>58</v>
      </c>
      <c r="B20" s="1170"/>
      <c r="C20" s="1171"/>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72" t="s">
        <v>837</v>
      </c>
    </row>
    <row r="25" spans="1:3" ht="14.25">
      <c r="A25" s="3248"/>
      <c r="B25" s="3252"/>
      <c r="C25" s="1172" t="s">
        <v>838</v>
      </c>
    </row>
    <row r="26" spans="1:3" ht="14.25">
      <c r="A26" s="3248"/>
      <c r="B26" s="3252"/>
      <c r="C26" s="1172" t="s">
        <v>839</v>
      </c>
    </row>
    <row r="27" spans="1:3" ht="14.25">
      <c r="A27" s="3248"/>
      <c r="B27" s="3252"/>
      <c r="C27" s="1172" t="s">
        <v>840</v>
      </c>
    </row>
    <row r="28" spans="1:3" ht="14.25">
      <c r="A28" s="3248"/>
      <c r="B28" s="3252"/>
      <c r="C28" s="1172" t="s">
        <v>841</v>
      </c>
    </row>
    <row r="29" spans="1:3" ht="14.25">
      <c r="A29" s="3248"/>
      <c r="B29" s="3252"/>
      <c r="C29" s="1172" t="s">
        <v>842</v>
      </c>
    </row>
    <row r="30" spans="1:3" ht="14.25">
      <c r="A30" s="3248"/>
      <c r="B30" s="3252"/>
      <c r="C30" s="1172" t="s">
        <v>843</v>
      </c>
    </row>
    <row r="31" spans="1:3" ht="14.25">
      <c r="A31" s="3248"/>
      <c r="B31" s="3252"/>
      <c r="C31" s="1172" t="s">
        <v>844</v>
      </c>
    </row>
    <row r="32" spans="1:3" ht="14.25">
      <c r="A32" s="3248"/>
      <c r="B32" s="3252"/>
      <c r="C32" s="1172" t="s">
        <v>1646</v>
      </c>
    </row>
    <row r="33" spans="1:3" ht="14.25">
      <c r="A33" s="3248"/>
      <c r="B33" s="3242" t="s">
        <v>1652</v>
      </c>
      <c r="C33" s="1172" t="s">
        <v>1647</v>
      </c>
    </row>
    <row r="34" spans="1:3" ht="14.25">
      <c r="A34" s="3248"/>
      <c r="B34" s="3243"/>
      <c r="C34" s="1177" t="s">
        <v>1648</v>
      </c>
    </row>
    <row r="35" spans="1:3" ht="14.25">
      <c r="A35" s="3248"/>
      <c r="B35" s="3243"/>
      <c r="C35" s="1178" t="s">
        <v>1649</v>
      </c>
    </row>
    <row r="36" spans="1:3" ht="14.25">
      <c r="A36" s="3248"/>
      <c r="B36" s="3243"/>
      <c r="C36" s="1178" t="s">
        <v>1650</v>
      </c>
    </row>
    <row r="37" spans="1:3" ht="14.25">
      <c r="A37" s="3248"/>
      <c r="B37" s="324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43914</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t="str">
        <f ca="1">IF(C4&lt;B2,"已过期",1119970066)</f>
        <v>已过期</v>
      </c>
      <c r="C4" s="3130">
        <v>43849</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t="str">
        <f ca="1">IF(C8&lt;B2,"已过期",1120000080)</f>
        <v>已过期</v>
      </c>
      <c r="C8" s="3130">
        <v>43849</v>
      </c>
      <c r="D8" s="3128" t="s">
        <v>1917</v>
      </c>
      <c r="E8" s="3128">
        <f ca="1">IF(F8&lt;B2,"已过期",2000110082)</f>
        <v>2000110082</v>
      </c>
      <c r="F8" s="3131">
        <v>46387</v>
      </c>
    </row>
    <row r="9" spans="1:6" ht="20.25" customHeight="1">
      <c r="A9" s="3128" t="s">
        <v>1918</v>
      </c>
      <c r="B9" s="3128" t="str">
        <f ca="1">IF(C9&lt;B2,"已过期",1419970001)</f>
        <v>已过期</v>
      </c>
      <c r="C9" s="3130">
        <v>43867</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2963</v>
      </c>
      <c r="B14" s="3128">
        <f ca="1">IF(C14&lt;B2,"已过期",1120040230)</f>
        <v>1120040230</v>
      </c>
      <c r="C14" s="3132">
        <v>44864</v>
      </c>
      <c r="D14" s="3133" t="s">
        <v>2964</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2977</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2979</v>
      </c>
      <c r="B23" s="3128">
        <v>1119980106</v>
      </c>
      <c r="C23" s="3130">
        <v>43916</v>
      </c>
      <c r="D23" s="3128"/>
      <c r="E23" s="3128"/>
      <c r="F23" s="3128"/>
    </row>
    <row r="24" spans="1:7" s="3136" customFormat="1" ht="20.25" customHeight="1">
      <c r="A24" s="3127" t="s">
        <v>2049</v>
      </c>
      <c r="B24" s="3127" t="s">
        <v>2049</v>
      </c>
      <c r="C24" s="3130"/>
      <c r="D24" s="3135" t="s">
        <v>2049</v>
      </c>
      <c r="E24" s="3127" t="s">
        <v>2049</v>
      </c>
      <c r="F24" s="3134"/>
    </row>
    <row r="25" spans="1:7" ht="20.25" customHeight="1">
      <c r="A25" s="3253" t="s">
        <v>1924</v>
      </c>
      <c r="B25" s="3253"/>
      <c r="C25" s="3253"/>
      <c r="D25" s="3253"/>
      <c r="E25" s="3253"/>
      <c r="F25" s="3253"/>
      <c r="G25" s="3253"/>
    </row>
    <row r="26" spans="1:7" ht="20.25" customHeight="1">
      <c r="A26" s="3254" t="s">
        <v>1925</v>
      </c>
      <c r="B26" s="3254"/>
      <c r="C26" s="3254"/>
      <c r="D26" s="3254" t="s">
        <v>1926</v>
      </c>
      <c r="E26" s="3254"/>
      <c r="F26" s="3254"/>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2978</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2541</v>
      </c>
      <c r="R1" s="2546" t="s">
        <v>2535</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2536</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876</v>
      </c>
    </row>
    <row r="4" spans="1:23">
      <c r="A4" s="8" t="s">
        <v>87</v>
      </c>
      <c r="B4" s="8" t="s">
        <v>152</v>
      </c>
      <c r="C4" s="1538" t="s">
        <v>1711</v>
      </c>
      <c r="D4" s="9" t="s">
        <v>1991</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2540</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1" t="s">
        <v>2937</v>
      </c>
      <c r="C18" s="1541"/>
    </row>
    <row r="19" spans="1:3">
      <c r="A19" s="8" t="s">
        <v>120</v>
      </c>
      <c r="B19" s="3061" t="s">
        <v>2945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丰台区南苑石榴庄0517-L02地块F1住宅混合公建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55"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20日，在规划利用条件下、设定土地开发程度为红线外“七通”、宗地内场地平整，设定用途为，剩余土地使用年限为的出让国有建设用地使用权价格。</v>
      </c>
      <c r="D53" s="1752"/>
      <c r="E53" s="1752"/>
    </row>
    <row r="54" spans="1:5">
      <c r="A54" s="3255"/>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5"/>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5"/>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5"/>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5"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136</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2020-03-24T01:37:55Z</dcterms:modified>
</cp:coreProperties>
</file>