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表" sheetId="68"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1" r:id="rId30"/>
    <sheet name="土地案例（田横）" sheetId="72" r:id="rId31"/>
    <sheet name="剩余法-待开发" sheetId="12" r:id="rId32"/>
    <sheet name="酒店收入计算" sheetId="57" state="hidden" r:id="rId33"/>
    <sheet name="成本逼近法" sheetId="11" state="hidden" r:id="rId34"/>
    <sheet name="不动产收益法" sheetId="15"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0" r:id="rId44"/>
    <sheet name="项目定位" sheetId="73"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地价!$A$2:$A$26</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'[2]比较法-工业'!$B$116:$M$116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'[2]比较法-工业'!$B$114:$M$114</definedName>
    <definedName name="套工开发程度">'比较法-工业'!$B$114:$M$114</definedName>
    <definedName name="套工临街等级" localSheetId="12">'[2]比较法-工业'!$B$99:$M$99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'[2]比较法-工业'!$B$112:$M$112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G47" i="21"/>
  <c r="I47" i="21"/>
  <c r="C20" i="66" l="1"/>
  <c r="C19" i="66"/>
  <c r="C18" i="66"/>
  <c r="C17" i="66"/>
  <c r="C16" i="66"/>
  <c r="C15" i="66"/>
  <c r="B20" i="66"/>
  <c r="B19" i="66"/>
  <c r="B18" i="66"/>
  <c r="B17" i="66"/>
  <c r="B16" i="66"/>
  <c r="B15" i="66"/>
  <c r="I13" i="3"/>
  <c r="A3" i="3"/>
  <c r="D20" i="66" l="1"/>
  <c r="G20" i="66" l="1"/>
  <c r="D19" i="66" l="1"/>
  <c r="G19" i="66" l="1"/>
  <c r="D18" i="66" l="1"/>
  <c r="G18" i="66" l="1"/>
  <c r="D17" i="66" l="1"/>
  <c r="G17" i="66" l="1"/>
  <c r="D16" i="66" l="1"/>
  <c r="G16" i="66" l="1"/>
  <c r="D15" i="66" l="1"/>
  <c r="G15" i="66" l="1"/>
  <c r="B5" i="4" l="1"/>
  <c r="B7" i="4"/>
  <c r="B35" i="1"/>
  <c r="E130" i="39"/>
  <c r="F130" i="39" s="1"/>
  <c r="D130" i="39"/>
  <c r="K40" i="68"/>
  <c r="U40" i="68"/>
  <c r="W40" i="68"/>
  <c r="AH32" i="68"/>
  <c r="AF39" i="68"/>
  <c r="AC39" i="68"/>
  <c r="AE32" i="68"/>
  <c r="AF32" i="68"/>
  <c r="AC32" i="68"/>
  <c r="AD34" i="68"/>
  <c r="AH34" i="68" s="1"/>
  <c r="AD35" i="68"/>
  <c r="AH35" i="68" s="1"/>
  <c r="AD36" i="68"/>
  <c r="AH36" i="68" s="1"/>
  <c r="AD37" i="68"/>
  <c r="AD38" i="68"/>
  <c r="AH38" i="68" s="1"/>
  <c r="AD33" i="68"/>
  <c r="AH33" i="68" s="1"/>
  <c r="AD27" i="68"/>
  <c r="AD28" i="68"/>
  <c r="AH28" i="68" s="1"/>
  <c r="AD29" i="68"/>
  <c r="AH29" i="68" s="1"/>
  <c r="AD30" i="68"/>
  <c r="AH30" i="68" s="1"/>
  <c r="AD31" i="68"/>
  <c r="AH31" i="68" s="1"/>
  <c r="AD26" i="68"/>
  <c r="AG26" i="68" s="1"/>
  <c r="AD23" i="68"/>
  <c r="AH23" i="68" s="1"/>
  <c r="AD24" i="68"/>
  <c r="AG24" i="68" s="1"/>
  <c r="AE24" i="68" s="1"/>
  <c r="AD22" i="68"/>
  <c r="AD18" i="68"/>
  <c r="AD19" i="68"/>
  <c r="AH19" i="68" s="1"/>
  <c r="AD20" i="68"/>
  <c r="AH20" i="68" s="1"/>
  <c r="AD17" i="68"/>
  <c r="AD14" i="68"/>
  <c r="AG14" i="68" s="1"/>
  <c r="AD15" i="68"/>
  <c r="AG15" i="68" s="1"/>
  <c r="AF15" i="68" s="1"/>
  <c r="AD13" i="68"/>
  <c r="AD10" i="68"/>
  <c r="AD11" i="68"/>
  <c r="AD9" i="68"/>
  <c r="AH9" i="68" s="1"/>
  <c r="AF25" i="68"/>
  <c r="AC25" i="68"/>
  <c r="AH24" i="68"/>
  <c r="AE21" i="68"/>
  <c r="AF21" i="68"/>
  <c r="AC21" i="68"/>
  <c r="AH18" i="68"/>
  <c r="AH17" i="68"/>
  <c r="AG18" i="68"/>
  <c r="AG20" i="68"/>
  <c r="AG17" i="68"/>
  <c r="AE16" i="68"/>
  <c r="AC16" i="68"/>
  <c r="AH10" i="68"/>
  <c r="AG11" i="68"/>
  <c r="AH5" i="68"/>
  <c r="AH6" i="68"/>
  <c r="AH7" i="68"/>
  <c r="AH4" i="68"/>
  <c r="AF12" i="68"/>
  <c r="AE8" i="68"/>
  <c r="AF8" i="68"/>
  <c r="AG8" i="68"/>
  <c r="AD8" i="68"/>
  <c r="AG35" i="68" l="1"/>
  <c r="AE35" i="68" s="1"/>
  <c r="AG36" i="68"/>
  <c r="AE36" i="68" s="1"/>
  <c r="AG34" i="68"/>
  <c r="AE34" i="68" s="1"/>
  <c r="AG31" i="68"/>
  <c r="AG38" i="68"/>
  <c r="AE38" i="68" s="1"/>
  <c r="AG37" i="68"/>
  <c r="AE37" i="68" s="1"/>
  <c r="AH37" i="68"/>
  <c r="AH39" i="68" s="1"/>
  <c r="AD16" i="68"/>
  <c r="AG30" i="68"/>
  <c r="AH26" i="68"/>
  <c r="AD39" i="68"/>
  <c r="AG33" i="68"/>
  <c r="AG29" i="68"/>
  <c r="AG28" i="68"/>
  <c r="AD32" i="68"/>
  <c r="AG27" i="68"/>
  <c r="AH27" i="68"/>
  <c r="AD21" i="68"/>
  <c r="AD25" i="68"/>
  <c r="AG23" i="68"/>
  <c r="AE23" i="68" s="1"/>
  <c r="AG19" i="68"/>
  <c r="AH21" i="68"/>
  <c r="AG22" i="68"/>
  <c r="AH22" i="68"/>
  <c r="AH25" i="68" s="1"/>
  <c r="AG21" i="68"/>
  <c r="AG9" i="68"/>
  <c r="AG10" i="68"/>
  <c r="AE10" i="68" s="1"/>
  <c r="AH15" i="68"/>
  <c r="AH14" i="68"/>
  <c r="AF14" i="68"/>
  <c r="AG13" i="68"/>
  <c r="AG16" i="68" s="1"/>
  <c r="AH13" i="68"/>
  <c r="AE11" i="68"/>
  <c r="AH11" i="68"/>
  <c r="AH12" i="68" s="1"/>
  <c r="AE9" i="68"/>
  <c r="AG32" i="68" l="1"/>
  <c r="AG39" i="68"/>
  <c r="AH16" i="68"/>
  <c r="AE33" i="68"/>
  <c r="AE39" i="68" s="1"/>
  <c r="AG25" i="68"/>
  <c r="AE22" i="68"/>
  <c r="AE25" i="68" s="1"/>
  <c r="AE12" i="68"/>
  <c r="AF13" i="68"/>
  <c r="AF16" i="68" s="1"/>
  <c r="AF40" i="68" s="1"/>
  <c r="AG12" i="68"/>
  <c r="AG40" i="68" l="1"/>
  <c r="AE40" i="68"/>
  <c r="K21" i="68" l="1"/>
  <c r="K32" i="68"/>
  <c r="G7" i="21" l="1"/>
  <c r="I7" i="21" l="1"/>
  <c r="AJ40" i="68" l="1"/>
  <c r="AI40" i="68"/>
  <c r="C12" i="39"/>
  <c r="D73" i="39"/>
  <c r="E73" i="39" s="1"/>
  <c r="F73" i="39" s="1"/>
  <c r="G73" i="39" s="1"/>
  <c r="H73" i="39" s="1"/>
  <c r="I73" i="39" s="1"/>
  <c r="J73" i="39" s="1"/>
  <c r="K73" i="39" s="1"/>
  <c r="L73" i="39" s="1"/>
  <c r="M73" i="39" s="1"/>
  <c r="I12" i="39"/>
  <c r="G12" i="39"/>
  <c r="I40" i="39"/>
  <c r="G40" i="39"/>
  <c r="E40" i="39"/>
  <c r="I9" i="39"/>
  <c r="G9" i="39"/>
  <c r="E9" i="39"/>
  <c r="E77" i="39"/>
  <c r="D77" i="39"/>
  <c r="C77" i="39"/>
  <c r="I8" i="39"/>
  <c r="G8" i="39"/>
  <c r="E8" i="39"/>
  <c r="I7" i="39"/>
  <c r="G7" i="39"/>
  <c r="E7" i="39"/>
  <c r="F22" i="6"/>
  <c r="F21" i="6"/>
  <c r="F20" i="6"/>
  <c r="W39" i="68"/>
  <c r="U39" i="68"/>
  <c r="K39" i="68"/>
  <c r="X38" i="68"/>
  <c r="X37" i="68"/>
  <c r="X36" i="68"/>
  <c r="X35" i="68"/>
  <c r="X34" i="68"/>
  <c r="X33" i="68"/>
  <c r="W32" i="68"/>
  <c r="U32" i="68"/>
  <c r="X31" i="68"/>
  <c r="X30" i="68"/>
  <c r="X29" i="68"/>
  <c r="X28" i="68"/>
  <c r="X27" i="68"/>
  <c r="X26" i="68"/>
  <c r="W25" i="68"/>
  <c r="U25" i="68"/>
  <c r="K25" i="68"/>
  <c r="X24" i="68"/>
  <c r="X23" i="68"/>
  <c r="X22" i="68"/>
  <c r="W21" i="68"/>
  <c r="U21" i="68"/>
  <c r="X20" i="68"/>
  <c r="X19" i="68"/>
  <c r="X18" i="68"/>
  <c r="X17" i="68"/>
  <c r="W16" i="68"/>
  <c r="U16" i="68"/>
  <c r="K16" i="68"/>
  <c r="X15" i="68"/>
  <c r="X14" i="68"/>
  <c r="X13" i="68"/>
  <c r="W12" i="68"/>
  <c r="U12" i="68"/>
  <c r="K12" i="68"/>
  <c r="X11" i="68"/>
  <c r="X10" i="68"/>
  <c r="X9" i="68"/>
  <c r="W8" i="68"/>
  <c r="U8" i="68"/>
  <c r="K8" i="68"/>
  <c r="X7" i="68"/>
  <c r="X6" i="68"/>
  <c r="X5" i="68"/>
  <c r="X4" i="68"/>
  <c r="D3" i="4"/>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s="1"/>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A30" i="64"/>
  <c r="K59" i="15"/>
  <c r="P62" i="15"/>
  <c r="Q74" i="44"/>
  <c r="Q61" i="44"/>
  <c r="Q60" i="44"/>
  <c r="Q53" i="44"/>
  <c r="J51" i="44"/>
  <c r="J52" i="44"/>
  <c r="M48" i="44"/>
  <c r="A16" i="55"/>
  <c r="A15" i="55"/>
  <c r="B66" i="63"/>
  <c r="A14" i="55"/>
  <c r="A11" i="55"/>
  <c r="B62" i="63"/>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s="1"/>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s="1"/>
  <c r="A13" i="1"/>
  <c r="B13" i="1" s="1"/>
  <c r="E13" i="1" s="1"/>
  <c r="A7" i="1"/>
  <c r="A8" i="1"/>
  <c r="A9" i="1"/>
  <c r="A10" i="1"/>
  <c r="R10" i="1" s="1"/>
  <c r="A11" i="1"/>
  <c r="A6" i="1"/>
  <c r="T4" i="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A30" i="51"/>
  <c r="B22" i="63"/>
  <c r="G36" i="4"/>
  <c r="K2" i="54"/>
  <c r="B23" i="63"/>
  <c r="A3" i="51"/>
  <c r="R41" i="4"/>
  <c r="Q41" i="4"/>
  <c r="P41" i="4"/>
  <c r="O41" i="4"/>
  <c r="N41" i="4"/>
  <c r="M41" i="4"/>
  <c r="L41" i="4"/>
  <c r="K40" i="4"/>
  <c r="T40" i="4" s="1"/>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D18" i="9" s="1"/>
  <c r="M44"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2" i="39"/>
  <c r="AA42" i="39"/>
  <c r="H10" i="39"/>
  <c r="AB10" i="39" s="1"/>
  <c r="H11" i="39"/>
  <c r="AB11" i="39"/>
  <c r="H36" i="39"/>
  <c r="AB36" i="39"/>
  <c r="H42" i="39"/>
  <c r="AB42" i="39"/>
  <c r="J10" i="39"/>
  <c r="AC10" i="39" s="1"/>
  <c r="J11" i="39"/>
  <c r="AC11" i="39"/>
  <c r="J36" i="39"/>
  <c r="AC36" i="39"/>
  <c r="J42" i="39"/>
  <c r="AC42" i="39"/>
  <c r="F35" i="44"/>
  <c r="M21" i="44"/>
  <c r="F20" i="44"/>
  <c r="C6" i="43"/>
  <c r="K9" i="43"/>
  <c r="J9" i="43"/>
  <c r="I9" i="43"/>
  <c r="H9" i="43"/>
  <c r="G9" i="43"/>
  <c r="F9" i="43"/>
  <c r="E9" i="43"/>
  <c r="D9" i="43"/>
  <c r="C9" i="43"/>
  <c r="BC13" i="3"/>
  <c r="BR13" i="3"/>
  <c r="BR5" i="3"/>
  <c r="G28" i="6"/>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H39" i="39"/>
  <c r="AB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H47" i="39" s="1"/>
  <c r="B131" i="39"/>
  <c r="B129" i="39"/>
  <c r="F45" i="39"/>
  <c r="AA45" i="39" s="1"/>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F91" i="39" s="1"/>
  <c r="G91" i="39" s="1"/>
  <c r="F17"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c r="E58" i="21"/>
  <c r="F58" i="21"/>
  <c r="G58" i="21"/>
  <c r="H58" i="21"/>
  <c r="I58" i="21"/>
  <c r="J58" i="21"/>
  <c r="K58" i="21"/>
  <c r="L58" i="21"/>
  <c r="M58" i="21"/>
  <c r="N58" i="21"/>
  <c r="O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c r="BJ13" i="3"/>
  <c r="BK13" i="3"/>
  <c r="BM13" i="3"/>
  <c r="BN13" i="3"/>
  <c r="BO13" i="3"/>
  <c r="BO5" i="3"/>
  <c r="F29" i="6"/>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c r="H26" i="21"/>
  <c r="J12" i="21"/>
  <c r="H12" i="21"/>
  <c r="U12" i="21"/>
  <c r="J26" i="21"/>
  <c r="W26" i="21" s="1"/>
  <c r="F26" i="21"/>
  <c r="AA26" i="21" s="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W9" i="2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c r="H34" i="39"/>
  <c r="AB34" i="39"/>
  <c r="J34" i="39"/>
  <c r="AC34" i="39"/>
  <c r="F39" i="39"/>
  <c r="S39" i="39"/>
  <c r="J39" i="39"/>
  <c r="AC39" i="39"/>
  <c r="J29" i="35"/>
  <c r="AC29" i="35"/>
  <c r="F29" i="35"/>
  <c r="S29" i="35"/>
  <c r="W30" i="36"/>
  <c r="AC30" i="36"/>
  <c r="H37" i="39"/>
  <c r="U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H45" i="39"/>
  <c r="U45" i="39" s="1"/>
  <c r="F47" i="39"/>
  <c r="AA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A39"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s="1"/>
  <c r="K11" i="1"/>
  <c r="M11" i="1" s="1"/>
  <c r="O11" i="1" s="1"/>
  <c r="P11" i="1" s="1"/>
  <c r="B9" i="1"/>
  <c r="E9" i="1" s="1"/>
  <c r="K9" i="1"/>
  <c r="M9" i="1" s="1"/>
  <c r="O9" i="1" s="1"/>
  <c r="P9" i="1" s="1"/>
  <c r="B7" i="1"/>
  <c r="E7" i="1" s="1"/>
  <c r="K7" i="1"/>
  <c r="M7" i="1" s="1"/>
  <c r="O7" i="1" s="1"/>
  <c r="P7" i="1" s="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43" i="21"/>
  <c r="W28" i="21"/>
  <c r="AC26" i="21"/>
  <c r="J23" i="21"/>
  <c r="W23" i="21" s="1"/>
  <c r="F23" i="21"/>
  <c r="S23" i="21" s="1"/>
  <c r="H23" i="21"/>
  <c r="U23" i="21" s="1"/>
  <c r="W13" i="21"/>
  <c r="AC2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A21" i="39"/>
  <c r="AC38" i="39"/>
  <c r="AC21" i="39"/>
  <c r="S14" i="39"/>
  <c r="AB38" i="39"/>
  <c r="U31" i="39"/>
  <c r="AB31" i="39"/>
  <c r="S38" i="39"/>
  <c r="S22" i="31"/>
  <c r="M20" i="15"/>
  <c r="D96" i="9"/>
  <c r="F28" i="15"/>
  <c r="M18" i="15"/>
  <c r="BA16" i="3"/>
  <c r="BA17" i="3"/>
  <c r="AZ17" i="3"/>
  <c r="K1" i="43"/>
  <c r="G1" i="44"/>
  <c r="AZ15" i="3"/>
  <c r="BK5" i="3"/>
  <c r="BP5" i="3"/>
  <c r="G29" i="6"/>
  <c r="BN5" i="3"/>
  <c r="BL18" i="3"/>
  <c r="AZ18" i="3"/>
  <c r="BC5" i="3"/>
  <c r="BD5" i="3"/>
  <c r="E5" i="6" s="1"/>
  <c r="BS5" i="3"/>
  <c r="F28" i="6"/>
  <c r="F30" i="6"/>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46" i="50"/>
  <c r="B4" i="63"/>
  <c r="C46" i="36"/>
  <c r="C59" i="34"/>
  <c r="C48" i="35"/>
  <c r="D48" i="35"/>
  <c r="C52" i="37"/>
  <c r="D52" i="37"/>
  <c r="J7" i="33"/>
  <c r="AC7" i="33"/>
  <c r="V48" i="33"/>
  <c r="I48" i="33"/>
  <c r="I52" i="33"/>
  <c r="J52" i="33"/>
  <c r="D65" i="40"/>
  <c r="E65" i="40"/>
  <c r="E67" i="40"/>
  <c r="C72" i="39"/>
  <c r="O19" i="46"/>
  <c r="H86" i="46"/>
  <c r="H82" i="46"/>
  <c r="H10" i="48"/>
  <c r="H87" i="46"/>
  <c r="H85" i="46"/>
  <c r="H83" i="46"/>
  <c r="K10" i="1"/>
  <c r="M10" i="1" s="1"/>
  <c r="S11" i="1"/>
  <c r="R11" i="1"/>
  <c r="S13" i="1"/>
  <c r="R13" i="1"/>
  <c r="B6" i="1"/>
  <c r="E6" i="1" s="1"/>
  <c r="B10" i="1"/>
  <c r="E10" i="1" s="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AA29" i="21"/>
  <c r="U27" i="21"/>
  <c r="W31" i="21"/>
  <c r="S27" i="21"/>
  <c r="AC27" i="21"/>
  <c r="W29" i="21"/>
  <c r="G96" i="40"/>
  <c r="J27" i="40"/>
  <c r="W37" i="40"/>
  <c r="S17" i="40"/>
  <c r="W30" i="40"/>
  <c r="S34" i="40"/>
  <c r="U17" i="40"/>
  <c r="U38" i="40"/>
  <c r="S40" i="40"/>
  <c r="S42" i="40"/>
  <c r="J31" i="39"/>
  <c r="AC31" i="39" s="1"/>
  <c r="AB33" i="39"/>
  <c r="U14" i="39"/>
  <c r="W25"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A9" i="64"/>
  <c r="A9" i="51"/>
  <c r="B9" i="63" s="1"/>
  <c r="D72" i="39"/>
  <c r="W7" i="33"/>
  <c r="G66" i="36"/>
  <c r="J18" i="36"/>
  <c r="AE8" i="1"/>
  <c r="AE7" i="1"/>
  <c r="W18" i="36"/>
  <c r="AC18" i="36"/>
  <c r="AG6" i="1"/>
  <c r="L20" i="6"/>
  <c r="L19" i="6"/>
  <c r="F7" i="21"/>
  <c r="AA7" i="21" s="1"/>
  <c r="J7" i="21"/>
  <c r="AC7" i="21" s="1"/>
  <c r="H7" i="21"/>
  <c r="AB7" i="21" s="1"/>
  <c r="F65" i="40"/>
  <c r="F67" i="40"/>
  <c r="E72" i="39"/>
  <c r="F70" i="39"/>
  <c r="F72" i="39"/>
  <c r="S7" i="21"/>
  <c r="G70" i="39"/>
  <c r="H70" i="39"/>
  <c r="G72" i="39"/>
  <c r="C45" i="9"/>
  <c r="H14" i="66"/>
  <c r="B7" i="66"/>
  <c r="O40" i="9"/>
  <c r="K31" i="9"/>
  <c r="K32" i="9"/>
  <c r="R7" i="54"/>
  <c r="B52" i="63"/>
  <c r="C46" i="9"/>
  <c r="K33" i="9"/>
  <c r="K34" i="9"/>
  <c r="O41" i="9"/>
  <c r="I14" i="66"/>
  <c r="B8" i="66"/>
  <c r="R8" i="54"/>
  <c r="B54" i="63"/>
  <c r="F23" i="39"/>
  <c r="AA23" i="39"/>
  <c r="F97" i="39"/>
  <c r="H23" i="39"/>
  <c r="S25" i="39"/>
  <c r="AB25" i="39"/>
  <c r="J45" i="39"/>
  <c r="AC45" i="39" s="1"/>
  <c r="S37" i="39"/>
  <c r="AA37" i="39"/>
  <c r="W39" i="39"/>
  <c r="J37" i="39"/>
  <c r="W16" i="39"/>
  <c r="AB15" i="39"/>
  <c r="W14" i="39"/>
  <c r="W36" i="39"/>
  <c r="U39" i="39"/>
  <c r="AB37" i="39"/>
  <c r="U36" i="39"/>
  <c r="S11" i="39"/>
  <c r="F43" i="39"/>
  <c r="AA43" i="39"/>
  <c r="J43" i="39"/>
  <c r="W43" i="39"/>
  <c r="H126" i="39"/>
  <c r="I126" i="39"/>
  <c r="J126" i="39"/>
  <c r="K126" i="39"/>
  <c r="L126" i="39"/>
  <c r="M126" i="39"/>
  <c r="H43" i="39"/>
  <c r="U43" i="39"/>
  <c r="W41" i="39"/>
  <c r="S43" i="39"/>
  <c r="S42" i="39"/>
  <c r="U41" i="39"/>
  <c r="W42" i="39"/>
  <c r="AB44" i="39"/>
  <c r="AB43" i="39"/>
  <c r="U42" i="39"/>
  <c r="S41" i="39"/>
  <c r="W34" i="39"/>
  <c r="S34" i="39"/>
  <c r="U34" i="39"/>
  <c r="AA46" i="39"/>
  <c r="AC46" i="39"/>
  <c r="AB46" i="39"/>
  <c r="S15" i="39"/>
  <c r="S16" i="39"/>
  <c r="W15" i="39"/>
  <c r="U11" i="39"/>
  <c r="K17" i="4"/>
  <c r="A22" i="51"/>
  <c r="B16" i="63"/>
  <c r="G9" i="1"/>
  <c r="G10" i="1"/>
  <c r="M22" i="44"/>
  <c r="D24" i="15"/>
  <c r="D23" i="15"/>
  <c r="E29" i="6"/>
  <c r="K15" i="1"/>
  <c r="G1" i="15"/>
  <c r="K1" i="12"/>
  <c r="P75" i="15"/>
  <c r="N76" i="9"/>
  <c r="K76" i="9"/>
  <c r="K77" i="9"/>
  <c r="K79" i="9"/>
  <c r="K81" i="9"/>
  <c r="D67" i="40"/>
  <c r="G30" i="6"/>
  <c r="G31" i="6" s="1"/>
  <c r="C30" i="44"/>
  <c r="C25" i="12"/>
  <c r="C27" i="43"/>
  <c r="C31" i="43"/>
  <c r="C28" i="15"/>
  <c r="H1" i="65"/>
  <c r="H51" i="46"/>
  <c r="X7" i="46"/>
  <c r="E17" i="46"/>
  <c r="N17" i="46"/>
  <c r="O17" i="46"/>
  <c r="M17" i="46"/>
  <c r="L17" i="46"/>
  <c r="E28" i="6"/>
  <c r="AP7" i="1"/>
  <c r="G13" i="1"/>
  <c r="I70" i="39"/>
  <c r="H72" i="39"/>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P21" i="46"/>
  <c r="B7" i="59"/>
  <c r="B6" i="59"/>
  <c r="D7" i="59"/>
  <c r="P22" i="46"/>
  <c r="P23" i="46"/>
  <c r="P25" i="46"/>
  <c r="B73" i="39"/>
  <c r="P24" i="46"/>
  <c r="B68" i="40"/>
  <c r="F33" i="44"/>
  <c r="F58" i="15"/>
  <c r="F31" i="15"/>
  <c r="M17" i="15"/>
  <c r="M19" i="44"/>
  <c r="AB23" i="39"/>
  <c r="U23" i="39"/>
  <c r="S23" i="39"/>
  <c r="J23" i="39"/>
  <c r="G97" i="39"/>
  <c r="W37" i="39"/>
  <c r="AC37" i="39"/>
  <c r="AC43" i="39"/>
  <c r="G17" i="46"/>
  <c r="C16" i="46"/>
  <c r="B5" i="59"/>
  <c r="D6" i="59"/>
  <c r="M20" i="46"/>
  <c r="C19" i="46"/>
  <c r="C5" i="59"/>
  <c r="D5" i="59"/>
  <c r="C5" i="46"/>
  <c r="D5" i="46"/>
  <c r="K14" i="1"/>
  <c r="M14" i="1" s="1"/>
  <c r="E30" i="6"/>
  <c r="AB7" i="33"/>
  <c r="T48" i="33"/>
  <c r="G48" i="33"/>
  <c r="U7" i="33"/>
  <c r="F48" i="35"/>
  <c r="E46" i="36"/>
  <c r="H65" i="40"/>
  <c r="G67" i="40"/>
  <c r="AA7" i="33"/>
  <c r="R48" i="33"/>
  <c r="S7" i="33"/>
  <c r="E59" i="34"/>
  <c r="F59" i="34"/>
  <c r="G59" i="34"/>
  <c r="H59" i="34"/>
  <c r="I59" i="34"/>
  <c r="J59" i="34"/>
  <c r="K59" i="34"/>
  <c r="L59" i="34"/>
  <c r="M59" i="34"/>
  <c r="N59" i="34"/>
  <c r="O59" i="34"/>
  <c r="F52" i="37"/>
  <c r="J70" i="39"/>
  <c r="I72" i="39"/>
  <c r="C7" i="46"/>
  <c r="AC23" i="39"/>
  <c r="W23" i="39"/>
  <c r="G20" i="46"/>
  <c r="E41" i="46"/>
  <c r="C41" i="46"/>
  <c r="C39" i="46"/>
  <c r="G39" i="46"/>
  <c r="I39" i="46" s="1"/>
  <c r="C20" i="46"/>
  <c r="C34" i="46"/>
  <c r="E34" i="46"/>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C37" i="46"/>
  <c r="G37" i="46"/>
  <c r="I37" i="46" s="1"/>
  <c r="C36" i="46"/>
  <c r="C33" i="46"/>
  <c r="E39" i="46"/>
  <c r="C38" i="46"/>
  <c r="E38" i="46"/>
  <c r="C35" i="46"/>
  <c r="T9" i="46"/>
  <c r="V9" i="46" s="1"/>
  <c r="T16" i="46"/>
  <c r="V16" i="46" s="1"/>
  <c r="T15" i="46"/>
  <c r="V15" i="46" s="1"/>
  <c r="T14" i="46"/>
  <c r="V14" i="46" s="1"/>
  <c r="T12" i="46"/>
  <c r="V12" i="46" s="1"/>
  <c r="T8" i="46"/>
  <c r="V8" i="46" s="1"/>
  <c r="T13" i="46"/>
  <c r="V13" i="46" s="1"/>
  <c r="T11" i="46"/>
  <c r="V11" i="46" s="1"/>
  <c r="T10" i="46"/>
  <c r="V10" i="46" s="1"/>
  <c r="AA7" i="36"/>
  <c r="R36" i="36"/>
  <c r="S7" i="36"/>
  <c r="H48" i="35"/>
  <c r="E52" i="33"/>
  <c r="F52" i="33"/>
  <c r="E53" i="33"/>
  <c r="F53" i="33"/>
  <c r="I53" i="33"/>
  <c r="J53" i="33"/>
  <c r="W7" i="34"/>
  <c r="AC7" i="34"/>
  <c r="V49" i="34"/>
  <c r="I49" i="34"/>
  <c r="S7" i="34"/>
  <c r="AA7" i="34"/>
  <c r="R49" i="34"/>
  <c r="J65" i="40"/>
  <c r="I67" i="40"/>
  <c r="H7" i="36"/>
  <c r="C49" i="33"/>
  <c r="B3" i="33"/>
  <c r="C48" i="33"/>
  <c r="AB7" i="34"/>
  <c r="T49" i="34"/>
  <c r="G49" i="34"/>
  <c r="U7" i="34"/>
  <c r="H52" i="37"/>
  <c r="L70" i="39"/>
  <c r="K72" i="39"/>
  <c r="J7" i="36"/>
  <c r="G34" i="46"/>
  <c r="I34" i="46"/>
  <c r="E37" i="46"/>
  <c r="G36" i="46"/>
  <c r="I36" i="46" s="1"/>
  <c r="E36" i="46"/>
  <c r="G33" i="46"/>
  <c r="I33" i="46"/>
  <c r="E33" i="46"/>
  <c r="G38" i="46"/>
  <c r="I38" i="46" s="1"/>
  <c r="E35" i="46"/>
  <c r="G35" i="46"/>
  <c r="I35" i="4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E40" i="36"/>
  <c r="F40" i="36"/>
  <c r="E41" i="36"/>
  <c r="F41" i="36"/>
  <c r="J48" i="35"/>
  <c r="G41" i="36"/>
  <c r="H41" i="36"/>
  <c r="G40" i="36"/>
  <c r="H40" i="36"/>
  <c r="N70" i="39"/>
  <c r="N72" i="39"/>
  <c r="M72" i="39"/>
  <c r="E54" i="34"/>
  <c r="F54" i="34"/>
  <c r="E53" i="34"/>
  <c r="F53" i="34"/>
  <c r="I40" i="36"/>
  <c r="J40" i="36"/>
  <c r="I41" i="36"/>
  <c r="J41" i="36"/>
  <c r="C37" i="36"/>
  <c r="B3" i="36"/>
  <c r="C36" i="36"/>
  <c r="C50" i="34"/>
  <c r="B3" i="34"/>
  <c r="C49" i="34"/>
  <c r="J52" i="37"/>
  <c r="L65" i="40"/>
  <c r="K67" i="40"/>
  <c r="L67" i="40"/>
  <c r="M65" i="40"/>
  <c r="K48" i="35"/>
  <c r="L48" i="35"/>
  <c r="M48" i="35"/>
  <c r="N48" i="35"/>
  <c r="O48" i="35"/>
  <c r="K52" i="37"/>
  <c r="J7" i="35"/>
  <c r="AC7" i="35"/>
  <c r="V38" i="35"/>
  <c r="I38" i="35"/>
  <c r="W7" i="35"/>
  <c r="N65" i="40"/>
  <c r="N67" i="40"/>
  <c r="M67" i="40"/>
  <c r="L52" i="37"/>
  <c r="F7" i="35"/>
  <c r="H7" i="35"/>
  <c r="AB7" i="35"/>
  <c r="T38" i="35"/>
  <c r="G38" i="35"/>
  <c r="U7" i="35"/>
  <c r="AA7" i="35"/>
  <c r="R38" i="35"/>
  <c r="S7" i="35"/>
  <c r="M52" i="37"/>
  <c r="J9" i="40"/>
  <c r="F9" i="40"/>
  <c r="H9" i="40"/>
  <c r="I42" i="35"/>
  <c r="J42" i="35"/>
  <c r="S9" i="40"/>
  <c r="AA9" i="40"/>
  <c r="R44" i="40"/>
  <c r="R45" i="40" s="1"/>
  <c r="U9" i="40"/>
  <c r="AB9" i="40"/>
  <c r="T44" i="40"/>
  <c r="G44" i="40" s="1"/>
  <c r="W9" i="40"/>
  <c r="AC9" i="40"/>
  <c r="V44" i="40"/>
  <c r="I44" i="40" s="1"/>
  <c r="N52" i="37"/>
  <c r="O52" i="37"/>
  <c r="F7" i="37"/>
  <c r="R39" i="35"/>
  <c r="E38" i="35"/>
  <c r="G42" i="35"/>
  <c r="H42" i="35"/>
  <c r="G43" i="35"/>
  <c r="H43" i="35"/>
  <c r="L46" i="15"/>
  <c r="AA7" i="37"/>
  <c r="R42" i="37"/>
  <c r="S7" i="37"/>
  <c r="E44" i="40"/>
  <c r="E43" i="35"/>
  <c r="F43" i="35"/>
  <c r="E42" i="35"/>
  <c r="F42" i="35"/>
  <c r="I43" i="35"/>
  <c r="J43" i="35"/>
  <c r="C39" i="35"/>
  <c r="B3" i="35"/>
  <c r="C38" i="35"/>
  <c r="H7" i="37"/>
  <c r="J7" i="37"/>
  <c r="W7" i="37"/>
  <c r="AC7" i="37"/>
  <c r="V42" i="37"/>
  <c r="I42" i="37"/>
  <c r="AB7" i="37"/>
  <c r="T42" i="37"/>
  <c r="G42" i="37"/>
  <c r="U7" i="37"/>
  <c r="E48" i="40"/>
  <c r="F48" i="40" s="1"/>
  <c r="E42" i="37"/>
  <c r="R43" i="37"/>
  <c r="C43" i="37"/>
  <c r="B3" i="37"/>
  <c r="C42" i="37"/>
  <c r="I46" i="37"/>
  <c r="J46" i="37"/>
  <c r="I47" i="37"/>
  <c r="J47" i="37"/>
  <c r="E47" i="37"/>
  <c r="F47" i="37"/>
  <c r="E46" i="37"/>
  <c r="F46" i="37"/>
  <c r="G46" i="37"/>
  <c r="H46" i="37"/>
  <c r="G47" i="37"/>
  <c r="H47" i="37"/>
  <c r="C19" i="44"/>
  <c r="M28" i="15"/>
  <c r="N4" i="65"/>
  <c r="B14" i="67"/>
  <c r="L48" i="15"/>
  <c r="M29" i="44"/>
  <c r="M23" i="44"/>
  <c r="I5" i="65"/>
  <c r="M25" i="44"/>
  <c r="M26" i="15"/>
  <c r="F6" i="15"/>
  <c r="F18" i="44"/>
  <c r="M28" i="44"/>
  <c r="I4" i="65"/>
  <c r="M30" i="44"/>
  <c r="F13" i="15"/>
  <c r="E12" i="67"/>
  <c r="M24" i="44"/>
  <c r="I3" i="65"/>
  <c r="F40" i="44"/>
  <c r="F36" i="15"/>
  <c r="J5" i="65"/>
  <c r="J4" i="65"/>
  <c r="F9" i="67"/>
  <c r="M10" i="44"/>
  <c r="J3" i="65"/>
  <c r="E13" i="67"/>
  <c r="J36" i="15"/>
  <c r="N6" i="65"/>
  <c r="B11" i="67"/>
  <c r="M9" i="15"/>
  <c r="B10" i="67"/>
  <c r="F11" i="67"/>
  <c r="J6" i="65"/>
  <c r="F13" i="67"/>
  <c r="F15" i="44"/>
  <c r="F37" i="15"/>
  <c r="F10" i="67"/>
  <c r="B8" i="67"/>
  <c r="F39" i="44"/>
  <c r="E10" i="67"/>
  <c r="F8" i="67"/>
  <c r="N7" i="65"/>
  <c r="F43" i="44"/>
  <c r="F16" i="15"/>
  <c r="F46" i="44"/>
  <c r="L49" i="44"/>
  <c r="E9" i="67"/>
  <c r="M31" i="44"/>
  <c r="M23" i="15"/>
  <c r="N5" i="65"/>
  <c r="F38" i="44"/>
  <c r="M6" i="15"/>
  <c r="J17" i="44"/>
  <c r="F8" i="44"/>
  <c r="F38" i="15"/>
  <c r="F9" i="44"/>
  <c r="M26" i="44"/>
  <c r="J7" i="65"/>
  <c r="B13" i="67"/>
  <c r="M22" i="15"/>
  <c r="B9" i="67"/>
  <c r="E14" i="67"/>
  <c r="F9" i="15"/>
  <c r="F8" i="15"/>
  <c r="F11" i="44"/>
  <c r="M11" i="44"/>
  <c r="M8" i="15"/>
  <c r="E8" i="67"/>
  <c r="F12" i="67"/>
  <c r="J15" i="15"/>
  <c r="E11" i="67"/>
  <c r="M24" i="15"/>
  <c r="N3" i="65"/>
  <c r="F37" i="44"/>
  <c r="F42" i="15"/>
  <c r="I7" i="65"/>
  <c r="F45" i="44"/>
  <c r="F26" i="15"/>
  <c r="F28" i="44"/>
  <c r="L48" i="44"/>
  <c r="F40" i="15"/>
  <c r="F10" i="44"/>
  <c r="B12" i="67"/>
  <c r="I6" i="65"/>
  <c r="M8" i="44"/>
  <c r="L47" i="15"/>
  <c r="M27" i="15"/>
  <c r="F14" i="67"/>
  <c r="W10" i="39" l="1"/>
  <c r="U10" i="39"/>
  <c r="S10" i="39"/>
  <c r="T41" i="4"/>
  <c r="A17" i="51" s="1"/>
  <c r="B13" i="63" s="1"/>
  <c r="A18" i="51"/>
  <c r="B14" i="63" s="1"/>
  <c r="A18" i="64"/>
  <c r="B74" i="63" s="1"/>
  <c r="C53" i="10"/>
  <c r="L5" i="54"/>
  <c r="B39" i="63" s="1"/>
  <c r="K5" i="54"/>
  <c r="A17" i="64"/>
  <c r="S31" i="39"/>
  <c r="W31" i="39"/>
  <c r="C40" i="39"/>
  <c r="J40" i="39" s="1"/>
  <c r="B2" i="35"/>
  <c r="M43" i="9"/>
  <c r="K12" i="1"/>
  <c r="M12" i="1" s="1"/>
  <c r="O12" i="1" s="1"/>
  <c r="P12" i="1" s="1"/>
  <c r="F3" i="35"/>
  <c r="S46" i="21"/>
  <c r="AA25" i="21"/>
  <c r="W25" i="21"/>
  <c r="L27" i="6"/>
  <c r="C15" i="43"/>
  <c r="C45" i="40"/>
  <c r="B53" i="40" s="1"/>
  <c r="C44" i="40"/>
  <c r="O14" i="1"/>
  <c r="P14" i="1" s="1"/>
  <c r="D21" i="12"/>
  <c r="C21" i="12" s="1"/>
  <c r="D12" i="11"/>
  <c r="C12" i="11" s="1"/>
  <c r="G48" i="40"/>
  <c r="H48" i="40" s="1"/>
  <c r="G49" i="40"/>
  <c r="H49" i="40" s="1"/>
  <c r="E49" i="40"/>
  <c r="F49" i="40" s="1"/>
  <c r="I48" i="40"/>
  <c r="J48" i="40" s="1"/>
  <c r="I49" i="40"/>
  <c r="J49" i="40" s="1"/>
  <c r="O8" i="1"/>
  <c r="P8" i="1" s="1"/>
  <c r="C15" i="12" s="1"/>
  <c r="O10" i="1"/>
  <c r="P10" i="1" s="1"/>
  <c r="AC46" i="21"/>
  <c r="AB44" i="21"/>
  <c r="W44" i="21"/>
  <c r="F101" i="21"/>
  <c r="G101" i="21" s="1"/>
  <c r="H101" i="21" s="1"/>
  <c r="I101" i="21" s="1"/>
  <c r="J101" i="21" s="1"/>
  <c r="K101" i="21" s="1"/>
  <c r="L101" i="21" s="1"/>
  <c r="M101" i="21" s="1"/>
  <c r="F32" i="21"/>
  <c r="S32" i="21" s="1"/>
  <c r="H32" i="21"/>
  <c r="J32" i="21"/>
  <c r="AC32" i="21" s="1"/>
  <c r="W8" i="21"/>
  <c r="W7" i="21"/>
  <c r="AB8" i="21"/>
  <c r="U7" i="21"/>
  <c r="H19" i="21"/>
  <c r="AB19" i="21" s="1"/>
  <c r="G81" i="21"/>
  <c r="F19" i="21"/>
  <c r="AA19" i="21" s="1"/>
  <c r="J19" i="21"/>
  <c r="W19" i="21" s="1"/>
  <c r="H17" i="21"/>
  <c r="F79" i="21"/>
  <c r="G79" i="21" s="1"/>
  <c r="F17" i="21"/>
  <c r="S17" i="21" s="1"/>
  <c r="J17" i="21"/>
  <c r="AC17" i="21" s="1"/>
  <c r="F15" i="21"/>
  <c r="G77" i="21"/>
  <c r="H15" i="21"/>
  <c r="J15" i="21"/>
  <c r="S19" i="21"/>
  <c r="AB23" i="21"/>
  <c r="S21" i="21"/>
  <c r="AC19" i="21"/>
  <c r="U19" i="21"/>
  <c r="W17" i="21"/>
  <c r="AA32" i="21"/>
  <c r="U43" i="21"/>
  <c r="F123" i="21"/>
  <c r="G123" i="21" s="1"/>
  <c r="H123" i="21" s="1"/>
  <c r="I123" i="21" s="1"/>
  <c r="J123" i="21" s="1"/>
  <c r="K123" i="21" s="1"/>
  <c r="L123" i="21" s="1"/>
  <c r="M123" i="21" s="1"/>
  <c r="H42" i="21"/>
  <c r="AB42" i="21" s="1"/>
  <c r="J42" i="21"/>
  <c r="AC42" i="21" s="1"/>
  <c r="F42" i="21"/>
  <c r="AA42" i="21" s="1"/>
  <c r="AA38" i="21"/>
  <c r="F37" i="21"/>
  <c r="H37" i="21"/>
  <c r="H113" i="21"/>
  <c r="J37" i="21"/>
  <c r="W39" i="21"/>
  <c r="AC35" i="21"/>
  <c r="U39" i="21"/>
  <c r="E6" i="52"/>
  <c r="AC36" i="21"/>
  <c r="AC38" i="21"/>
  <c r="U38" i="21"/>
  <c r="AA43" i="21"/>
  <c r="S42" i="21"/>
  <c r="W42" i="21"/>
  <c r="U42" i="21"/>
  <c r="AA40" i="21"/>
  <c r="AC40" i="21"/>
  <c r="AA36" i="21"/>
  <c r="AB36" i="21"/>
  <c r="W32" i="21"/>
  <c r="S10" i="21"/>
  <c r="AA9" i="21"/>
  <c r="S8" i="21"/>
  <c r="E16" i="52"/>
  <c r="AB31" i="21"/>
  <c r="AC45" i="21"/>
  <c r="S45" i="21"/>
  <c r="U46" i="21"/>
  <c r="B4" i="52"/>
  <c r="N73" i="39"/>
  <c r="F9" i="39"/>
  <c r="J27" i="39"/>
  <c r="F27" i="39"/>
  <c r="H27" i="39"/>
  <c r="B8" i="52"/>
  <c r="E15" i="52"/>
  <c r="E22" i="52"/>
  <c r="AB45" i="39"/>
  <c r="W45" i="39"/>
  <c r="E10" i="52"/>
  <c r="B9" i="52"/>
  <c r="B14" i="52"/>
  <c r="E17" i="52"/>
  <c r="B10" i="52"/>
  <c r="B7" i="52"/>
  <c r="B6" i="52"/>
  <c r="E14" i="52"/>
  <c r="S45" i="39"/>
  <c r="AB47" i="39"/>
  <c r="U47" i="39"/>
  <c r="E21" i="52"/>
  <c r="B13" i="52"/>
  <c r="B16" i="52"/>
  <c r="B5" i="52"/>
  <c r="E8" i="52"/>
  <c r="E13" i="52"/>
  <c r="E4" i="4" s="1"/>
  <c r="B21" i="55" s="1"/>
  <c r="B72" i="63" s="1"/>
  <c r="E11" i="52"/>
  <c r="E9" i="52"/>
  <c r="B11" i="52"/>
  <c r="B22" i="52"/>
  <c r="E5" i="52"/>
  <c r="E4" i="52"/>
  <c r="E7" i="52"/>
  <c r="C4" i="4" s="1"/>
  <c r="B20" i="55" s="1"/>
  <c r="B70" i="63" s="1"/>
  <c r="AC47" i="39"/>
  <c r="S47" i="39"/>
  <c r="AA44" i="39"/>
  <c r="F93" i="39"/>
  <c r="G93" i="39" s="1"/>
  <c r="H19" i="39" s="1"/>
  <c r="S17" i="39"/>
  <c r="AA17" i="39"/>
  <c r="H17" i="39"/>
  <c r="J17" i="39"/>
  <c r="F29" i="39"/>
  <c r="H29" i="39"/>
  <c r="J29" i="39"/>
  <c r="I1" i="65"/>
  <c r="L58" i="15"/>
  <c r="L59" i="15"/>
  <c r="F67" i="15"/>
  <c r="J53" i="15"/>
  <c r="L56" i="15"/>
  <c r="J57" i="15"/>
  <c r="J55" i="15" s="1"/>
  <c r="J58" i="15" s="1"/>
  <c r="Q51" i="15" s="1"/>
  <c r="I54" i="15"/>
  <c r="J60" i="15"/>
  <c r="Q49" i="15" s="1"/>
  <c r="J59" i="15"/>
  <c r="F50" i="15"/>
  <c r="Q72" i="15"/>
  <c r="F63" i="15"/>
  <c r="J60" i="44"/>
  <c r="I55" i="44"/>
  <c r="J61" i="44"/>
  <c r="Q50" i="44" s="1"/>
  <c r="J54" i="44"/>
  <c r="J58" i="44"/>
  <c r="J56" i="44" s="1"/>
  <c r="J59" i="44" s="1"/>
  <c r="Q52" i="44" s="1"/>
  <c r="L57" i="44"/>
  <c r="L47" i="44"/>
  <c r="L60" i="44"/>
  <c r="L59" i="44"/>
  <c r="C36" i="44"/>
  <c r="M9" i="44"/>
  <c r="J8" i="44" s="1"/>
  <c r="C29" i="44"/>
  <c r="C4" i="65"/>
  <c r="B39" i="1" s="1"/>
  <c r="E20" i="46"/>
  <c r="J1" i="65"/>
  <c r="F64" i="15"/>
  <c r="F65" i="15"/>
  <c r="C27" i="15"/>
  <c r="J22" i="44"/>
  <c r="Q73" i="44"/>
  <c r="C8" i="44"/>
  <c r="C18" i="44"/>
  <c r="E2" i="65"/>
  <c r="E3" i="65"/>
  <c r="B38" i="63" l="1"/>
  <c r="A3" i="55"/>
  <c r="B56" i="63" s="1"/>
  <c r="A25" i="64"/>
  <c r="A25" i="51"/>
  <c r="B18" i="63" s="1"/>
  <c r="H40" i="39"/>
  <c r="F40" i="39"/>
  <c r="AC40" i="39"/>
  <c r="W40" i="39"/>
  <c r="B60" i="40"/>
  <c r="B61" i="40"/>
  <c r="B59" i="40"/>
  <c r="B56" i="40"/>
  <c r="F56" i="40" s="1"/>
  <c r="B58" i="40"/>
  <c r="B62" i="40"/>
  <c r="B55" i="40"/>
  <c r="F55" i="40" s="1"/>
  <c r="B54" i="40"/>
  <c r="F54" i="40" s="1"/>
  <c r="B57" i="40"/>
  <c r="F57" i="40" s="1"/>
  <c r="U32" i="21"/>
  <c r="AB32" i="21"/>
  <c r="AA17" i="21"/>
  <c r="AB17" i="21"/>
  <c r="U17" i="21"/>
  <c r="W15" i="21"/>
  <c r="AC15" i="21"/>
  <c r="AB15" i="21"/>
  <c r="U15" i="21"/>
  <c r="S15" i="21"/>
  <c r="AA15" i="21"/>
  <c r="S37" i="21"/>
  <c r="AA37" i="21"/>
  <c r="W37" i="21"/>
  <c r="AC37" i="21"/>
  <c r="U37" i="21"/>
  <c r="AB37" i="21"/>
  <c r="AA9" i="39"/>
  <c r="S9" i="39"/>
  <c r="J9" i="39"/>
  <c r="H9" i="39"/>
  <c r="AA27" i="39"/>
  <c r="S27" i="39"/>
  <c r="U27" i="39"/>
  <c r="AB27" i="39"/>
  <c r="W27" i="39"/>
  <c r="AC27" i="39"/>
  <c r="U19" i="39"/>
  <c r="AB19" i="39"/>
  <c r="J19" i="39"/>
  <c r="F19" i="39"/>
  <c r="W17" i="39"/>
  <c r="AC17" i="39"/>
  <c r="AB17" i="39"/>
  <c r="U17" i="39"/>
  <c r="U29" i="39"/>
  <c r="AB29" i="39"/>
  <c r="AC29" i="39"/>
  <c r="W29" i="39"/>
  <c r="S29" i="39"/>
  <c r="AA29" i="39"/>
  <c r="F17" i="11"/>
  <c r="C17" i="11" s="1"/>
  <c r="B40" i="1"/>
  <c r="O28" i="46"/>
  <c r="N28" i="46"/>
  <c r="P28" i="46"/>
  <c r="M28" i="46"/>
  <c r="Q75" i="44"/>
  <c r="Q62" i="44"/>
  <c r="F1" i="44"/>
  <c r="Q54" i="44"/>
  <c r="Q61" i="15"/>
  <c r="Q74" i="15"/>
  <c r="M11" i="15"/>
  <c r="J10" i="15" s="1"/>
  <c r="F11" i="15"/>
  <c r="F13" i="44"/>
  <c r="C12" i="44" s="1"/>
  <c r="C7" i="44" s="1"/>
  <c r="M13" i="44"/>
  <c r="J12" i="44" s="1"/>
  <c r="J7" i="44" s="1"/>
  <c r="Q63" i="44"/>
  <c r="Q76" i="44"/>
  <c r="F1" i="15"/>
  <c r="Q53" i="15"/>
  <c r="Q62" i="15"/>
  <c r="Q75" i="15"/>
  <c r="AE6" i="1"/>
  <c r="AA40" i="39" l="1"/>
  <c r="S40" i="39"/>
  <c r="AB40" i="39"/>
  <c r="U40" i="39"/>
  <c r="U9" i="39"/>
  <c r="AB9" i="39"/>
  <c r="W9" i="39"/>
  <c r="AC9" i="39"/>
  <c r="AA19" i="39"/>
  <c r="S19" i="39"/>
  <c r="AC19" i="39"/>
  <c r="W19" i="39"/>
  <c r="C40" i="44"/>
  <c r="C34" i="44"/>
  <c r="J20" i="44"/>
  <c r="J28" i="44"/>
  <c r="J31" i="44" s="1"/>
  <c r="J26" i="44"/>
  <c r="F24" i="15"/>
  <c r="C24" i="15" s="1"/>
  <c r="F26" i="12"/>
  <c r="C27" i="12" s="1"/>
  <c r="D26" i="12" s="1"/>
  <c r="C32" i="12" s="1"/>
  <c r="D30" i="12" s="1"/>
  <c r="F21" i="43"/>
  <c r="F26" i="44"/>
  <c r="C26" i="44" s="1"/>
  <c r="C10" i="15"/>
  <c r="C52" i="15"/>
  <c r="F41" i="15"/>
  <c r="L52" i="44"/>
  <c r="F68" i="15" l="1"/>
  <c r="Q69" i="44"/>
  <c r="L58" i="44"/>
  <c r="L61" i="44" s="1"/>
  <c r="Q49" i="44"/>
  <c r="Q55" i="44" s="1"/>
  <c r="Q67" i="44"/>
  <c r="Q58" i="44"/>
  <c r="C23" i="43"/>
  <c r="D21" i="43" s="1"/>
  <c r="Q59" i="44" l="1"/>
  <c r="Q64" i="44" s="1"/>
  <c r="Q68" i="44"/>
  <c r="Q77" i="44" s="1"/>
  <c r="L57" i="15" l="1"/>
  <c r="L60" i="15" s="1"/>
  <c r="Q67" i="15" l="1"/>
  <c r="Q58" i="15"/>
  <c r="AC8" i="68"/>
  <c r="AH8" i="68"/>
  <c r="I5" i="3" l="1"/>
  <c r="AH40" i="68"/>
  <c r="H13" i="3"/>
  <c r="BB13" i="3"/>
  <c r="F19" i="6" l="1"/>
  <c r="BB5" i="3"/>
  <c r="BA13" i="3"/>
  <c r="E19" i="6"/>
  <c r="I4" i="6"/>
  <c r="H5" i="3"/>
  <c r="G13" i="3"/>
  <c r="G5" i="3" l="1"/>
  <c r="B3" i="3" s="1"/>
  <c r="C9" i="12"/>
  <c r="K6" i="1"/>
  <c r="BA5" i="3"/>
  <c r="E27" i="6" s="1"/>
  <c r="AZ13" i="3"/>
  <c r="AZ5" i="3" s="1"/>
  <c r="E10" i="6"/>
  <c r="E13" i="6"/>
  <c r="E11" i="6"/>
  <c r="E12" i="6"/>
  <c r="E15" i="6"/>
  <c r="E14" i="6"/>
  <c r="E8" i="6"/>
  <c r="F7" i="15"/>
  <c r="F43" i="15"/>
  <c r="M29" i="15"/>
  <c r="F70" i="15" l="1"/>
  <c r="M7" i="15"/>
  <c r="J6" i="15" s="1"/>
  <c r="J5" i="15" s="1"/>
  <c r="F49" i="15"/>
  <c r="C48" i="15" s="1"/>
  <c r="C47" i="15" s="1"/>
  <c r="C6" i="15"/>
  <c r="C5" i="15" s="1"/>
  <c r="K25" i="6"/>
  <c r="M25" i="6" s="1"/>
  <c r="I25" i="6" s="1"/>
  <c r="S25" i="6" s="1"/>
  <c r="K26" i="6"/>
  <c r="M26" i="6" s="1"/>
  <c r="I26" i="6" s="1"/>
  <c r="S26" i="6" s="1"/>
  <c r="K23" i="6"/>
  <c r="M23" i="6" s="1"/>
  <c r="I23" i="6" s="1"/>
  <c r="S23" i="6" s="1"/>
  <c r="K24" i="6"/>
  <c r="M24" i="6" s="1"/>
  <c r="I24" i="6" s="1"/>
  <c r="S24" i="6" s="1"/>
  <c r="K21" i="6"/>
  <c r="E31" i="6"/>
  <c r="K20" i="6"/>
  <c r="K22" i="6"/>
  <c r="K19" i="6"/>
  <c r="E66" i="39"/>
  <c r="E61" i="40"/>
  <c r="F61" i="40" s="1"/>
  <c r="E64" i="39"/>
  <c r="E59" i="40"/>
  <c r="F59" i="40" s="1"/>
  <c r="E60" i="40"/>
  <c r="F60" i="40" s="1"/>
  <c r="E65" i="39"/>
  <c r="E16" i="6"/>
  <c r="E53" i="40"/>
  <c r="F53" i="40" s="1"/>
  <c r="E58" i="39"/>
  <c r="F27" i="6"/>
  <c r="F31" i="6" s="1"/>
  <c r="E62" i="40"/>
  <c r="F62" i="40" s="1"/>
  <c r="E67" i="39"/>
  <c r="E58" i="40"/>
  <c r="F58" i="40" s="1"/>
  <c r="E63" i="39"/>
  <c r="E92" i="3"/>
  <c r="E225" i="3"/>
  <c r="E490" i="3"/>
  <c r="E63" i="3"/>
  <c r="E78" i="3"/>
  <c r="E441" i="3"/>
  <c r="E157" i="3"/>
  <c r="R6" i="3"/>
  <c r="E84" i="3"/>
  <c r="E38" i="3"/>
  <c r="E337" i="3"/>
  <c r="E205" i="3"/>
  <c r="E444" i="3"/>
  <c r="E539" i="3"/>
  <c r="U6" i="3"/>
  <c r="E471" i="3"/>
  <c r="E472" i="3"/>
  <c r="E452" i="3"/>
  <c r="E462" i="3"/>
  <c r="E482" i="3"/>
  <c r="E165" i="3"/>
  <c r="E59" i="3"/>
  <c r="E376" i="3"/>
  <c r="E140" i="3"/>
  <c r="E468" i="3"/>
  <c r="E418" i="3"/>
  <c r="E435" i="3"/>
  <c r="E443" i="3"/>
  <c r="E270" i="3"/>
  <c r="P6" i="3"/>
  <c r="E265" i="3"/>
  <c r="AS6" i="3"/>
  <c r="E451" i="3"/>
  <c r="E44" i="3"/>
  <c r="E397" i="3"/>
  <c r="E131" i="3"/>
  <c r="E450" i="3"/>
  <c r="E410" i="3"/>
  <c r="AM6" i="3"/>
  <c r="E223" i="3"/>
  <c r="E34" i="3"/>
  <c r="E85" i="3"/>
  <c r="E556" i="3"/>
  <c r="E97" i="3"/>
  <c r="E204" i="3"/>
  <c r="E449" i="3"/>
  <c r="E416" i="3"/>
  <c r="E133" i="3"/>
  <c r="E256" i="3"/>
  <c r="E569" i="3"/>
  <c r="E251" i="3"/>
  <c r="E156" i="3"/>
  <c r="E170" i="3"/>
  <c r="E500" i="3"/>
  <c r="E367" i="3"/>
  <c r="E401" i="3"/>
  <c r="E126" i="3"/>
  <c r="E51" i="3"/>
  <c r="AF6" i="3"/>
  <c r="E324" i="3"/>
  <c r="E216" i="3"/>
  <c r="T6" i="3"/>
  <c r="E278" i="3"/>
  <c r="E292" i="3"/>
  <c r="E412" i="3"/>
  <c r="E111" i="3"/>
  <c r="E220" i="3"/>
  <c r="E191" i="3"/>
  <c r="E432" i="3"/>
  <c r="E562" i="3"/>
  <c r="E494" i="3"/>
  <c r="E264" i="3"/>
  <c r="E386" i="3"/>
  <c r="E385" i="3"/>
  <c r="E364" i="3"/>
  <c r="E516" i="3"/>
  <c r="E155" i="3"/>
  <c r="E41" i="3"/>
  <c r="E202" i="3"/>
  <c r="E423" i="3"/>
  <c r="E442" i="3"/>
  <c r="E129" i="3"/>
  <c r="E304" i="3"/>
  <c r="E280" i="3"/>
  <c r="E534" i="3"/>
  <c r="AH6" i="3"/>
  <c r="E431" i="3"/>
  <c r="E313" i="3"/>
  <c r="E428" i="3"/>
  <c r="E357" i="3"/>
  <c r="E247" i="3"/>
  <c r="E52" i="3"/>
  <c r="E415" i="3"/>
  <c r="E238" i="3"/>
  <c r="E537" i="3"/>
  <c r="E536" i="3"/>
  <c r="E545" i="3"/>
  <c r="E390" i="3"/>
  <c r="E561" i="3"/>
  <c r="E209" i="3"/>
  <c r="E21" i="3"/>
  <c r="E142" i="3"/>
  <c r="E185" i="3"/>
  <c r="E187" i="3"/>
  <c r="E110" i="3"/>
  <c r="E404" i="3"/>
  <c r="E387" i="3"/>
  <c r="E70" i="3"/>
  <c r="E374" i="3"/>
  <c r="E568" i="3"/>
  <c r="E250" i="3"/>
  <c r="E54" i="3"/>
  <c r="E184" i="3"/>
  <c r="AN6" i="3"/>
  <c r="E64" i="3"/>
  <c r="E148" i="3"/>
  <c r="E237" i="3"/>
  <c r="E317" i="3"/>
  <c r="E550" i="3"/>
  <c r="E139" i="3"/>
  <c r="E527" i="3"/>
  <c r="E425" i="3"/>
  <c r="E113" i="3"/>
  <c r="E259" i="3"/>
  <c r="E160" i="3"/>
  <c r="E458" i="3"/>
  <c r="E319" i="3"/>
  <c r="E546" i="3"/>
  <c r="E122" i="3"/>
  <c r="E492" i="3"/>
  <c r="E447" i="3"/>
  <c r="N6" i="3"/>
  <c r="E438" i="3"/>
  <c r="E258" i="3"/>
  <c r="Y6" i="3"/>
  <c r="E281" i="3"/>
  <c r="E559" i="3"/>
  <c r="E325" i="3"/>
  <c r="E373" i="3"/>
  <c r="E297" i="3"/>
  <c r="E549" i="3"/>
  <c r="E178" i="3"/>
  <c r="E293" i="3"/>
  <c r="E288" i="3"/>
  <c r="E162" i="3"/>
  <c r="E558" i="3"/>
  <c r="E118" i="3"/>
  <c r="E167" i="3"/>
  <c r="E67" i="3"/>
  <c r="AG6" i="3"/>
  <c r="E180" i="3"/>
  <c r="E361" i="3"/>
  <c r="E522" i="3"/>
  <c r="E542" i="3"/>
  <c r="E541" i="3"/>
  <c r="E439" i="3"/>
  <c r="E266" i="3"/>
  <c r="E244" i="3"/>
  <c r="E356" i="3"/>
  <c r="E91" i="3"/>
  <c r="E263" i="3"/>
  <c r="AE6" i="3"/>
  <c r="E276" i="3"/>
  <c r="E540" i="3"/>
  <c r="E234" i="3"/>
  <c r="E525" i="3"/>
  <c r="E236" i="3"/>
  <c r="E531" i="3"/>
  <c r="E104" i="3"/>
  <c r="E547" i="3"/>
  <c r="E422" i="3"/>
  <c r="E48" i="3"/>
  <c r="E25" i="3"/>
  <c r="E336" i="3"/>
  <c r="E345" i="3"/>
  <c r="E362" i="3"/>
  <c r="E489" i="3"/>
  <c r="E45" i="3"/>
  <c r="E269" i="3"/>
  <c r="E411" i="3"/>
  <c r="E174" i="3"/>
  <c r="E125" i="3"/>
  <c r="E478" i="3"/>
  <c r="E408" i="3"/>
  <c r="E194" i="3"/>
  <c r="E343" i="3"/>
  <c r="E100" i="3"/>
  <c r="E136" i="3"/>
  <c r="E28" i="3"/>
  <c r="O6" i="3"/>
  <c r="E242" i="3"/>
  <c r="E456" i="3"/>
  <c r="E208" i="3"/>
  <c r="Q6" i="3"/>
  <c r="E363" i="3"/>
  <c r="E466" i="3"/>
  <c r="E228" i="3"/>
  <c r="E360" i="3"/>
  <c r="I3" i="6"/>
  <c r="E560" i="3"/>
  <c r="E229" i="3"/>
  <c r="E338" i="3"/>
  <c r="E486" i="3"/>
  <c r="E246" i="3"/>
  <c r="E572" i="3"/>
  <c r="E557" i="3"/>
  <c r="Z6" i="3"/>
  <c r="AO6" i="3"/>
  <c r="E82" i="3"/>
  <c r="E370" i="3"/>
  <c r="E128" i="3"/>
  <c r="E474" i="3"/>
  <c r="E295" i="3"/>
  <c r="E398" i="3"/>
  <c r="E479" i="3"/>
  <c r="E72" i="3"/>
  <c r="E286" i="3"/>
  <c r="E535" i="3"/>
  <c r="E463" i="3"/>
  <c r="E53" i="3"/>
  <c r="E420" i="3"/>
  <c r="E480" i="3"/>
  <c r="E120" i="3"/>
  <c r="E260" i="3"/>
  <c r="E506" i="3"/>
  <c r="E553" i="3"/>
  <c r="E543" i="3"/>
  <c r="E302" i="3"/>
  <c r="E16" i="3"/>
  <c r="E163" i="3"/>
  <c r="E510" i="3"/>
  <c r="E519" i="3"/>
  <c r="E86" i="3"/>
  <c r="E231" i="3"/>
  <c r="E548" i="3"/>
  <c r="E71" i="3"/>
  <c r="E481" i="3"/>
  <c r="E115" i="3"/>
  <c r="E424" i="3"/>
  <c r="E507" i="3"/>
  <c r="E279" i="3"/>
  <c r="E529" i="3"/>
  <c r="E37" i="3"/>
  <c r="E433" i="3"/>
  <c r="E106" i="3"/>
  <c r="E532" i="3"/>
  <c r="L6" i="3"/>
  <c r="E448" i="3"/>
  <c r="E271" i="3"/>
  <c r="E212" i="3"/>
  <c r="E501" i="3"/>
  <c r="AB6" i="3"/>
  <c r="E175" i="3"/>
  <c r="E348" i="3"/>
  <c r="E83" i="3"/>
  <c r="E230" i="3"/>
  <c r="E18" i="3"/>
  <c r="E69" i="3"/>
  <c r="X6" i="3"/>
  <c r="E57" i="3"/>
  <c r="E285" i="3"/>
  <c r="E210" i="3"/>
  <c r="E366" i="3"/>
  <c r="E303" i="3"/>
  <c r="E309" i="3"/>
  <c r="E24" i="3"/>
  <c r="E19" i="3"/>
  <c r="E514" i="3"/>
  <c r="E329" i="3"/>
  <c r="E316" i="3"/>
  <c r="E114" i="3"/>
  <c r="E409" i="3"/>
  <c r="E389" i="3"/>
  <c r="E377" i="3"/>
  <c r="E241" i="3"/>
  <c r="E31" i="3"/>
  <c r="E77" i="3"/>
  <c r="E218" i="3"/>
  <c r="E161" i="3"/>
  <c r="E36" i="3"/>
  <c r="E305" i="3"/>
  <c r="E47" i="3"/>
  <c r="E294" i="3"/>
  <c r="E158" i="3"/>
  <c r="E407" i="3"/>
  <c r="E291" i="3"/>
  <c r="E168" i="3"/>
  <c r="E96" i="3"/>
  <c r="E491" i="3"/>
  <c r="E56" i="3"/>
  <c r="E32" i="3"/>
  <c r="E141" i="3"/>
  <c r="E211" i="3"/>
  <c r="E40" i="3"/>
  <c r="E392" i="3"/>
  <c r="E149" i="3"/>
  <c r="E469" i="3"/>
  <c r="E453" i="3"/>
  <c r="E339" i="3"/>
  <c r="E275" i="3"/>
  <c r="E188" i="3"/>
  <c r="E342" i="3"/>
  <c r="E346" i="3"/>
  <c r="E349" i="3"/>
  <c r="E484" i="3"/>
  <c r="E127" i="3"/>
  <c r="E43" i="3"/>
  <c r="E239" i="3"/>
  <c r="E50" i="3"/>
  <c r="E49" i="3"/>
  <c r="E98" i="3"/>
  <c r="E272" i="3"/>
  <c r="E513" i="3"/>
  <c r="E502" i="3"/>
  <c r="E181" i="3"/>
  <c r="E460" i="3"/>
  <c r="J6" i="3"/>
  <c r="E190" i="3"/>
  <c r="E393" i="3"/>
  <c r="E235" i="3"/>
  <c r="E173" i="3"/>
  <c r="E219" i="3"/>
  <c r="E566" i="3"/>
  <c r="E214" i="3"/>
  <c r="E505" i="3"/>
  <c r="E528" i="3"/>
  <c r="E301" i="3"/>
  <c r="E391" i="3"/>
  <c r="E207" i="3"/>
  <c r="AI6" i="3"/>
  <c r="E353" i="3"/>
  <c r="E283" i="3"/>
  <c r="E119" i="3"/>
  <c r="E79" i="3"/>
  <c r="E65" i="3"/>
  <c r="E314" i="3"/>
  <c r="E42" i="3"/>
  <c r="E199" i="3"/>
  <c r="E151" i="3"/>
  <c r="E213" i="3"/>
  <c r="E23" i="3"/>
  <c r="E445" i="3"/>
  <c r="E308" i="3"/>
  <c r="E15" i="3"/>
  <c r="E232" i="3"/>
  <c r="E290" i="3"/>
  <c r="E381" i="3"/>
  <c r="E88" i="3"/>
  <c r="E515" i="3"/>
  <c r="E378" i="3"/>
  <c r="E117" i="3"/>
  <c r="E359" i="3"/>
  <c r="E134" i="3"/>
  <c r="E495" i="3"/>
  <c r="E455" i="3"/>
  <c r="E150" i="3"/>
  <c r="E249" i="3"/>
  <c r="W6" i="3"/>
  <c r="AQ6" i="3"/>
  <c r="E14" i="3"/>
  <c r="E467" i="3"/>
  <c r="E306" i="3"/>
  <c r="AL6" i="3"/>
  <c r="E544" i="3"/>
  <c r="E186" i="3"/>
  <c r="E382" i="3"/>
  <c r="E321" i="3"/>
  <c r="E172" i="3"/>
  <c r="E538" i="3"/>
  <c r="E177" i="3"/>
  <c r="E521" i="3"/>
  <c r="E123" i="3"/>
  <c r="E323" i="3"/>
  <c r="E112" i="3"/>
  <c r="E282" i="3"/>
  <c r="E322" i="3"/>
  <c r="E46" i="3"/>
  <c r="E255" i="3"/>
  <c r="E344" i="3"/>
  <c r="E372" i="3"/>
  <c r="E108" i="3"/>
  <c r="E371" i="3"/>
  <c r="E380" i="3"/>
  <c r="E327" i="3"/>
  <c r="E20" i="3"/>
  <c r="E222" i="3"/>
  <c r="E296" i="3"/>
  <c r="E383" i="3"/>
  <c r="E30" i="3"/>
  <c r="E399" i="3"/>
  <c r="E289" i="3"/>
  <c r="E87" i="3"/>
  <c r="E193" i="3"/>
  <c r="E102" i="3"/>
  <c r="E334" i="3"/>
  <c r="E60" i="3"/>
  <c r="E355" i="3"/>
  <c r="V6" i="3"/>
  <c r="E227" i="3"/>
  <c r="E352" i="3"/>
  <c r="E101" i="3"/>
  <c r="E554" i="3"/>
  <c r="E274" i="3"/>
  <c r="E248" i="3"/>
  <c r="E320" i="3"/>
  <c r="E426" i="3"/>
  <c r="E261" i="3"/>
  <c r="E555" i="3"/>
  <c r="E571" i="3"/>
  <c r="E369" i="3"/>
  <c r="E551" i="3"/>
  <c r="E315" i="3"/>
  <c r="E368" i="3"/>
  <c r="E138" i="3"/>
  <c r="E523" i="3"/>
  <c r="E459" i="3"/>
  <c r="E215" i="3"/>
  <c r="E488" i="3"/>
  <c r="E326" i="3"/>
  <c r="E333" i="3"/>
  <c r="E311" i="3"/>
  <c r="E189" i="3"/>
  <c r="E417" i="3"/>
  <c r="E61" i="3"/>
  <c r="E217" i="3"/>
  <c r="E90" i="3"/>
  <c r="E130" i="3"/>
  <c r="E76" i="3"/>
  <c r="E159" i="3"/>
  <c r="E268" i="3"/>
  <c r="E375" i="3"/>
  <c r="E17" i="3"/>
  <c r="E457" i="3"/>
  <c r="E347" i="3"/>
  <c r="E335" i="3"/>
  <c r="E154" i="3"/>
  <c r="E277" i="3"/>
  <c r="E567" i="3"/>
  <c r="E476" i="3"/>
  <c r="E200" i="3"/>
  <c r="E413" i="3"/>
  <c r="E430" i="3"/>
  <c r="E530" i="3"/>
  <c r="E340" i="3"/>
  <c r="E121" i="3"/>
  <c r="E182" i="3"/>
  <c r="E563" i="3"/>
  <c r="E394" i="3"/>
  <c r="E461" i="3"/>
  <c r="E152" i="3"/>
  <c r="E233" i="3"/>
  <c r="E169" i="3"/>
  <c r="E429" i="3"/>
  <c r="E508" i="3"/>
  <c r="E512" i="3"/>
  <c r="E318" i="3"/>
  <c r="E124" i="3"/>
  <c r="E358" i="3"/>
  <c r="AA6" i="3"/>
  <c r="E520" i="3"/>
  <c r="E99" i="3"/>
  <c r="E176" i="3"/>
  <c r="E201" i="3"/>
  <c r="E365" i="3"/>
  <c r="E183" i="3"/>
  <c r="E395" i="3"/>
  <c r="E464" i="3"/>
  <c r="E166" i="3"/>
  <c r="E89" i="3"/>
  <c r="E396" i="3"/>
  <c r="E436" i="3"/>
  <c r="E328" i="3"/>
  <c r="E257" i="3"/>
  <c r="E33" i="3"/>
  <c r="E284" i="3"/>
  <c r="E107" i="3"/>
  <c r="E497" i="3"/>
  <c r="E298" i="3"/>
  <c r="E22" i="3"/>
  <c r="E206" i="3"/>
  <c r="E197" i="3"/>
  <c r="E485" i="3"/>
  <c r="E81" i="3"/>
  <c r="E503" i="3"/>
  <c r="E564" i="3"/>
  <c r="E403" i="3"/>
  <c r="E224" i="3"/>
  <c r="E254" i="3"/>
  <c r="S6" i="3"/>
  <c r="E414" i="3"/>
  <c r="E253" i="3"/>
  <c r="E332" i="3"/>
  <c r="AJ6" i="3"/>
  <c r="E198" i="3"/>
  <c r="E39" i="3"/>
  <c r="E498" i="3"/>
  <c r="E132" i="3"/>
  <c r="E354" i="3"/>
  <c r="E331" i="3"/>
  <c r="E405" i="3"/>
  <c r="E153" i="3"/>
  <c r="E287" i="3"/>
  <c r="E351" i="3"/>
  <c r="E252" i="3"/>
  <c r="E470" i="3"/>
  <c r="E240" i="3"/>
  <c r="E195" i="3"/>
  <c r="E203" i="3"/>
  <c r="E379" i="3"/>
  <c r="E483" i="3"/>
  <c r="E524" i="3"/>
  <c r="E192" i="3"/>
  <c r="M6" i="3"/>
  <c r="E307" i="3"/>
  <c r="E66" i="3"/>
  <c r="E341" i="3"/>
  <c r="E511" i="3"/>
  <c r="E402" i="3"/>
  <c r="E116" i="3"/>
  <c r="E384" i="3"/>
  <c r="E299" i="3"/>
  <c r="E388" i="3"/>
  <c r="E330" i="3"/>
  <c r="E35" i="3"/>
  <c r="E93" i="3"/>
  <c r="E446" i="3"/>
  <c r="E68" i="3"/>
  <c r="E421" i="3"/>
  <c r="E526" i="3"/>
  <c r="E171" i="3"/>
  <c r="E533" i="3"/>
  <c r="E440" i="3"/>
  <c r="E427" i="3"/>
  <c r="E245" i="3"/>
  <c r="E179" i="3"/>
  <c r="E29" i="3"/>
  <c r="E73" i="3"/>
  <c r="E27" i="3"/>
  <c r="E419" i="3"/>
  <c r="E137" i="3"/>
  <c r="K6" i="3"/>
  <c r="AR6" i="3"/>
  <c r="E75" i="3"/>
  <c r="E499" i="3"/>
  <c r="E105" i="3"/>
  <c r="E406" i="3"/>
  <c r="AK6" i="3"/>
  <c r="E262" i="3"/>
  <c r="E145" i="3"/>
  <c r="E465" i="3"/>
  <c r="E310" i="3"/>
  <c r="E103" i="3"/>
  <c r="E146" i="3"/>
  <c r="E350" i="3"/>
  <c r="E267" i="3"/>
  <c r="E55" i="3"/>
  <c r="E437" i="3"/>
  <c r="AP6" i="3"/>
  <c r="E109" i="3"/>
  <c r="E196" i="3"/>
  <c r="E473" i="3"/>
  <c r="E144" i="3"/>
  <c r="E518" i="3"/>
  <c r="E147" i="3"/>
  <c r="E477" i="3"/>
  <c r="E80" i="3"/>
  <c r="E94" i="3"/>
  <c r="E517" i="3"/>
  <c r="E273" i="3"/>
  <c r="E95" i="3"/>
  <c r="E504" i="3"/>
  <c r="E135" i="3"/>
  <c r="E454" i="3"/>
  <c r="E475" i="3"/>
  <c r="E164" i="3"/>
  <c r="E400" i="3"/>
  <c r="E58" i="3"/>
  <c r="E243" i="3"/>
  <c r="E487" i="3"/>
  <c r="E62" i="3"/>
  <c r="E434" i="3"/>
  <c r="E496" i="3"/>
  <c r="E312" i="3"/>
  <c r="E570" i="3"/>
  <c r="E221" i="3"/>
  <c r="E226" i="3"/>
  <c r="E493" i="3"/>
  <c r="E565" i="3"/>
  <c r="E509" i="3"/>
  <c r="E300" i="3"/>
  <c r="E74" i="3"/>
  <c r="E26" i="3"/>
  <c r="E143" i="3"/>
  <c r="E552" i="3"/>
  <c r="AD6" i="3"/>
  <c r="I6" i="3"/>
  <c r="AY6" i="3"/>
  <c r="E3" i="6"/>
  <c r="H16" i="1"/>
  <c r="K16" i="1"/>
  <c r="AP16" i="1"/>
  <c r="F22" i="11" s="1"/>
  <c r="G16" i="1"/>
  <c r="Q16" i="1"/>
  <c r="M6" i="1"/>
  <c r="E13" i="3"/>
  <c r="C16" i="15"/>
  <c r="AC6" i="3" l="1"/>
  <c r="F24" i="43"/>
  <c r="C26" i="43" s="1"/>
  <c r="D24" i="43" s="1"/>
  <c r="F33" i="12"/>
  <c r="C34" i="12" s="1"/>
  <c r="D33" i="12" s="1"/>
  <c r="F18" i="11"/>
  <c r="C18" i="11" s="1"/>
  <c r="C19" i="11" s="1"/>
  <c r="AY83" i="3"/>
  <c r="AY425" i="3"/>
  <c r="AY169" i="3"/>
  <c r="AY30" i="3"/>
  <c r="AY143" i="3"/>
  <c r="AY246" i="3"/>
  <c r="AY25" i="3"/>
  <c r="AY431" i="3"/>
  <c r="AY176" i="3"/>
  <c r="AY22" i="3"/>
  <c r="AY140" i="3"/>
  <c r="AY222" i="3"/>
  <c r="AY357" i="3"/>
  <c r="AY410" i="3"/>
  <c r="AY252" i="3"/>
  <c r="AY80" i="3"/>
  <c r="AY126" i="3"/>
  <c r="AY55" i="3"/>
  <c r="AY310" i="3"/>
  <c r="AY340" i="3"/>
  <c r="AY572" i="3"/>
  <c r="AY432" i="3"/>
  <c r="AY394" i="3"/>
  <c r="AY494" i="3"/>
  <c r="AY569" i="3"/>
  <c r="AY396" i="3"/>
  <c r="AY152" i="3"/>
  <c r="AY492" i="3"/>
  <c r="AY327" i="3"/>
  <c r="AY289" i="3"/>
  <c r="AY509" i="3"/>
  <c r="AY296" i="3"/>
  <c r="AY262" i="3"/>
  <c r="AY488" i="3"/>
  <c r="AY178" i="3"/>
  <c r="AY543" i="3"/>
  <c r="AY424" i="3"/>
  <c r="AY329" i="3"/>
  <c r="BP6" i="3"/>
  <c r="AY235" i="3"/>
  <c r="AY514" i="3"/>
  <c r="AY504" i="3"/>
  <c r="AY467" i="3"/>
  <c r="AY70" i="3"/>
  <c r="AY435" i="3"/>
  <c r="AY188" i="3"/>
  <c r="AY36" i="3"/>
  <c r="AY337" i="3"/>
  <c r="AY86" i="3"/>
  <c r="AY392" i="3"/>
  <c r="AY162" i="3"/>
  <c r="AY552" i="3"/>
  <c r="BF6" i="3"/>
  <c r="AY68" i="3"/>
  <c r="AY387" i="3"/>
  <c r="AY205" i="3"/>
  <c r="AY486" i="3"/>
  <c r="AY47" i="3"/>
  <c r="AY402" i="3"/>
  <c r="AY265" i="3"/>
  <c r="AY161" i="3"/>
  <c r="AY43" i="3"/>
  <c r="AY216" i="3"/>
  <c r="AY254" i="3"/>
  <c r="AY273" i="3"/>
  <c r="AY219" i="3"/>
  <c r="AY211" i="3"/>
  <c r="AY458" i="3"/>
  <c r="AY385" i="3"/>
  <c r="AY404" i="3"/>
  <c r="AY434" i="3"/>
  <c r="AY571" i="3"/>
  <c r="AY251" i="3"/>
  <c r="AY57" i="3"/>
  <c r="AY372" i="3"/>
  <c r="AY381" i="3"/>
  <c r="BC6" i="3"/>
  <c r="AY558" i="3"/>
  <c r="AY96" i="3"/>
  <c r="AY565" i="3"/>
  <c r="AY190" i="3"/>
  <c r="AY298" i="3"/>
  <c r="AY444" i="3"/>
  <c r="AY521" i="3"/>
  <c r="AY422" i="3"/>
  <c r="AY386" i="3"/>
  <c r="AY319" i="3"/>
  <c r="BO6" i="3"/>
  <c r="AY507" i="3"/>
  <c r="AY121" i="3"/>
  <c r="AY430" i="3"/>
  <c r="AY231" i="3"/>
  <c r="AY529" i="3"/>
  <c r="AY438" i="3"/>
  <c r="AY368" i="3"/>
  <c r="AY506" i="3"/>
  <c r="AY59" i="3"/>
  <c r="AY54" i="3"/>
  <c r="AY62" i="3"/>
  <c r="AY449" i="3"/>
  <c r="AY14" i="3"/>
  <c r="AY520" i="3"/>
  <c r="AY199" i="3"/>
  <c r="AY495" i="3"/>
  <c r="AY391" i="3"/>
  <c r="AY243" i="3"/>
  <c r="AY441" i="3"/>
  <c r="AY315" i="3"/>
  <c r="AY369" i="3"/>
  <c r="AY503" i="3"/>
  <c r="AY263" i="3"/>
  <c r="AY517" i="3"/>
  <c r="AY548" i="3"/>
  <c r="AY229" i="3"/>
  <c r="AY20" i="3"/>
  <c r="AY524" i="3"/>
  <c r="AY292" i="3"/>
  <c r="AY354" i="3"/>
  <c r="AY445" i="3"/>
  <c r="AY468" i="3"/>
  <c r="AY69" i="3"/>
  <c r="AY342" i="3"/>
  <c r="AY510" i="3"/>
  <c r="AY375" i="3"/>
  <c r="AY345" i="3"/>
  <c r="AY568" i="3"/>
  <c r="AY294" i="3"/>
  <c r="AY330" i="3"/>
  <c r="AY266" i="3"/>
  <c r="AY131" i="3"/>
  <c r="AY399" i="3"/>
  <c r="AY195" i="3"/>
  <c r="AY454" i="3"/>
  <c r="AY419" i="3"/>
  <c r="AY482" i="3"/>
  <c r="AY39" i="3"/>
  <c r="AY335" i="3"/>
  <c r="AY518" i="3"/>
  <c r="BI6" i="3"/>
  <c r="AY536" i="3"/>
  <c r="AY116" i="3"/>
  <c r="AY111" i="3"/>
  <c r="AY112" i="3"/>
  <c r="AY164" i="3"/>
  <c r="AY180" i="3"/>
  <c r="AY95" i="3"/>
  <c r="AY384" i="3"/>
  <c r="AY398" i="3"/>
  <c r="AY241" i="3"/>
  <c r="AY555" i="3"/>
  <c r="AY52" i="3"/>
  <c r="AY183" i="3"/>
  <c r="BH6" i="3"/>
  <c r="AY309" i="3"/>
  <c r="AY561" i="3"/>
  <c r="AY407" i="3"/>
  <c r="AY186" i="3"/>
  <c r="AY563" i="3"/>
  <c r="AY192" i="3"/>
  <c r="AY362" i="3"/>
  <c r="AY566" i="3"/>
  <c r="AY100" i="3"/>
  <c r="AY416" i="3"/>
  <c r="AY141" i="3"/>
  <c r="AY400" i="3"/>
  <c r="AY442" i="3"/>
  <c r="AY150" i="3"/>
  <c r="BS6" i="3"/>
  <c r="AY24" i="3"/>
  <c r="AY46" i="3"/>
  <c r="AY380" i="3"/>
  <c r="AY107" i="3"/>
  <c r="AY203" i="3"/>
  <c r="AY286" i="3"/>
  <c r="AY382" i="3"/>
  <c r="AY374" i="3"/>
  <c r="AY34" i="3"/>
  <c r="AY127" i="3"/>
  <c r="AY505" i="3"/>
  <c r="AY125" i="3"/>
  <c r="AY179" i="3"/>
  <c r="AY560" i="3"/>
  <c r="AY405" i="3"/>
  <c r="AY172" i="3"/>
  <c r="AY290" i="3"/>
  <c r="AY239" i="3"/>
  <c r="BR6" i="3"/>
  <c r="AY331" i="3"/>
  <c r="AY198" i="3"/>
  <c r="AY537" i="3"/>
  <c r="AY556" i="3"/>
  <c r="BQ6" i="3"/>
  <c r="AY433" i="3"/>
  <c r="AY175" i="3"/>
  <c r="BK6" i="3"/>
  <c r="AY528" i="3"/>
  <c r="AY76" i="3"/>
  <c r="AY288" i="3"/>
  <c r="AY519" i="3"/>
  <c r="AY276" i="3"/>
  <c r="AY423" i="3"/>
  <c r="AY234" i="3"/>
  <c r="AY50" i="3"/>
  <c r="AY481" i="3"/>
  <c r="AY437" i="3"/>
  <c r="BA6" i="3"/>
  <c r="AY242" i="3"/>
  <c r="AY534" i="3"/>
  <c r="AY532" i="3"/>
  <c r="AY149" i="3"/>
  <c r="AY389" i="3"/>
  <c r="AY27" i="3"/>
  <c r="AY90" i="3"/>
  <c r="AY215" i="3"/>
  <c r="AY508" i="3"/>
  <c r="AY207" i="3"/>
  <c r="AY347" i="3"/>
  <c r="AY168" i="3"/>
  <c r="AY511" i="3"/>
  <c r="AY200" i="3"/>
  <c r="AY377" i="3"/>
  <c r="AY232" i="3"/>
  <c r="AY304" i="3"/>
  <c r="AY531" i="3"/>
  <c r="AY213" i="3"/>
  <c r="AY466" i="3"/>
  <c r="AY35" i="3"/>
  <c r="AY40" i="3"/>
  <c r="AY217" i="3"/>
  <c r="AY316" i="3"/>
  <c r="AY33" i="3"/>
  <c r="AY324" i="3"/>
  <c r="AY51" i="3"/>
  <c r="AY411" i="3"/>
  <c r="AY490" i="3"/>
  <c r="AY144" i="3"/>
  <c r="AY414" i="3"/>
  <c r="AY151" i="3"/>
  <c r="AY547" i="3"/>
  <c r="AY301" i="3"/>
  <c r="AY278" i="3"/>
  <c r="AY108" i="3"/>
  <c r="AY53" i="3"/>
  <c r="AY171" i="3"/>
  <c r="AY522" i="3"/>
  <c r="AY45" i="3"/>
  <c r="AY348" i="3"/>
  <c r="AY308" i="3"/>
  <c r="AY197" i="3"/>
  <c r="AY44" i="3"/>
  <c r="AY461" i="3"/>
  <c r="AY84" i="3"/>
  <c r="AY260" i="3"/>
  <c r="AY118" i="3"/>
  <c r="AY459" i="3"/>
  <c r="AY99" i="3"/>
  <c r="AY282" i="3"/>
  <c r="AY371" i="3"/>
  <c r="AY546" i="3"/>
  <c r="AY355" i="3"/>
  <c r="AY538" i="3"/>
  <c r="AY130" i="3"/>
  <c r="AY539" i="3"/>
  <c r="AY530" i="3"/>
  <c r="AY397" i="3"/>
  <c r="AY549" i="3"/>
  <c r="AY269" i="3"/>
  <c r="AY13" i="3"/>
  <c r="AY378" i="3"/>
  <c r="AY249" i="3"/>
  <c r="AY480" i="3"/>
  <c r="AY267" i="3"/>
  <c r="AY82" i="3"/>
  <c r="AY182" i="3"/>
  <c r="AY479" i="3"/>
  <c r="AY238" i="3"/>
  <c r="AY230" i="3"/>
  <c r="AY157" i="3"/>
  <c r="AY333" i="3"/>
  <c r="AY341" i="3"/>
  <c r="AY428" i="3"/>
  <c r="AY356" i="3"/>
  <c r="AY562" i="3"/>
  <c r="AY527" i="3"/>
  <c r="AY390" i="3"/>
  <c r="AY133" i="3"/>
  <c r="AY56" i="3"/>
  <c r="BM6" i="3"/>
  <c r="AY67" i="3"/>
  <c r="AY31" i="3"/>
  <c r="AY181" i="3"/>
  <c r="AY350" i="3"/>
  <c r="AY101" i="3"/>
  <c r="AY501" i="3"/>
  <c r="AY28" i="3"/>
  <c r="AY359" i="3"/>
  <c r="AY64" i="3"/>
  <c r="AY148" i="3"/>
  <c r="AY221" i="3"/>
  <c r="AY489" i="3"/>
  <c r="AY15" i="3"/>
  <c r="AY567" i="3"/>
  <c r="AY93" i="3"/>
  <c r="AY554" i="3"/>
  <c r="AY353" i="3"/>
  <c r="AY349" i="3"/>
  <c r="AY451" i="3"/>
  <c r="AY550" i="3"/>
  <c r="AY91" i="3"/>
  <c r="AY156" i="3"/>
  <c r="AY206" i="3"/>
  <c r="AY553" i="3"/>
  <c r="AY401" i="3"/>
  <c r="AY499" i="3"/>
  <c r="AY261" i="3"/>
  <c r="BE6" i="3"/>
  <c r="AY258" i="3"/>
  <c r="AY224" i="3"/>
  <c r="AY415" i="3"/>
  <c r="AY469" i="3"/>
  <c r="AY312" i="3"/>
  <c r="AY291" i="3"/>
  <c r="AY29" i="3"/>
  <c r="AY332" i="3"/>
  <c r="AY383" i="3"/>
  <c r="AY21" i="3"/>
  <c r="AY367" i="3"/>
  <c r="AY395" i="3"/>
  <c r="AY473" i="3"/>
  <c r="AY142" i="3"/>
  <c r="AY155" i="3"/>
  <c r="AY275" i="3"/>
  <c r="BN6" i="3"/>
  <c r="AY184" i="3"/>
  <c r="AY351" i="3"/>
  <c r="AY339" i="3"/>
  <c r="AY61" i="3"/>
  <c r="AY373" i="3"/>
  <c r="AY88" i="3"/>
  <c r="AY194" i="3"/>
  <c r="AY154" i="3"/>
  <c r="AY185" i="3"/>
  <c r="AY470" i="3"/>
  <c r="AY26" i="3"/>
  <c r="AY279" i="3"/>
  <c r="AY75" i="3"/>
  <c r="AY559" i="3"/>
  <c r="AY173" i="3"/>
  <c r="AY23" i="3"/>
  <c r="AY129" i="3"/>
  <c r="AY259" i="3"/>
  <c r="AY119" i="3"/>
  <c r="AY98" i="3"/>
  <c r="AY352" i="3"/>
  <c r="AY471" i="3"/>
  <c r="AY475" i="3"/>
  <c r="AY306" i="3"/>
  <c r="AY87" i="3"/>
  <c r="AY376" i="3"/>
  <c r="AY191" i="3"/>
  <c r="AY193" i="3"/>
  <c r="AY453" i="3"/>
  <c r="AY174" i="3"/>
  <c r="AY363" i="3"/>
  <c r="AY48" i="3"/>
  <c r="AY426" i="3"/>
  <c r="AY491" i="3"/>
  <c r="AY464" i="3"/>
  <c r="AY320" i="3"/>
  <c r="AY299" i="3"/>
  <c r="AY19" i="3"/>
  <c r="AY523" i="3"/>
  <c r="AY81" i="3"/>
  <c r="AY268" i="3"/>
  <c r="AY153" i="3"/>
  <c r="AY513" i="3"/>
  <c r="AY277" i="3"/>
  <c r="AY72" i="3"/>
  <c r="AY236" i="3"/>
  <c r="AY321" i="3"/>
  <c r="AY318" i="3"/>
  <c r="AY66" i="3"/>
  <c r="AY436" i="3"/>
  <c r="AY228" i="3"/>
  <c r="AY209" i="3"/>
  <c r="AY226" i="3"/>
  <c r="AY103" i="3"/>
  <c r="AY544" i="3"/>
  <c r="AY283" i="3"/>
  <c r="AY417" i="3"/>
  <c r="AY557" i="3"/>
  <c r="AY564" i="3"/>
  <c r="AY379" i="3"/>
  <c r="AY302" i="3"/>
  <c r="BD6" i="3"/>
  <c r="AY358" i="3"/>
  <c r="AY41" i="3"/>
  <c r="AY139" i="3"/>
  <c r="AY132" i="3"/>
  <c r="AY117" i="3"/>
  <c r="AY42" i="3"/>
  <c r="AY303" i="3"/>
  <c r="AY484" i="3"/>
  <c r="AY313" i="3"/>
  <c r="AY159" i="3"/>
  <c r="AY343" i="3"/>
  <c r="AY305" i="3"/>
  <c r="AY311" i="3"/>
  <c r="AY158" i="3"/>
  <c r="AY32" i="3"/>
  <c r="AY220" i="3"/>
  <c r="AY334" i="3"/>
  <c r="AY97" i="3"/>
  <c r="AY109" i="3"/>
  <c r="AY274" i="3"/>
  <c r="AY225" i="3"/>
  <c r="AY545" i="3"/>
  <c r="AY196" i="3"/>
  <c r="AY295" i="3"/>
  <c r="AY447" i="3"/>
  <c r="BG6" i="3"/>
  <c r="AY208" i="3"/>
  <c r="AY476" i="3"/>
  <c r="AY456" i="3"/>
  <c r="AY439" i="3"/>
  <c r="AY307" i="3"/>
  <c r="AY145" i="3"/>
  <c r="AY63" i="3"/>
  <c r="AY338" i="3"/>
  <c r="AY106" i="3"/>
  <c r="AY138" i="3"/>
  <c r="AY102" i="3"/>
  <c r="AY124" i="3"/>
  <c r="AY281" i="3"/>
  <c r="AY134" i="3"/>
  <c r="AY388" i="3"/>
  <c r="AY170" i="3"/>
  <c r="BT6" i="3"/>
  <c r="AY541" i="3"/>
  <c r="AY450" i="3"/>
  <c r="BL6" i="3"/>
  <c r="AY328" i="3"/>
  <c r="AY237" i="3"/>
  <c r="AY104" i="3"/>
  <c r="AY409" i="3"/>
  <c r="AY533" i="3"/>
  <c r="AY336" i="3"/>
  <c r="AY240" i="3"/>
  <c r="AY37" i="3"/>
  <c r="AY202" i="3"/>
  <c r="AY542" i="3"/>
  <c r="AY408" i="3"/>
  <c r="AY526" i="3"/>
  <c r="AY406" i="3"/>
  <c r="AY540" i="3"/>
  <c r="AY512" i="3"/>
  <c r="AY58" i="3"/>
  <c r="AY250" i="3"/>
  <c r="AY272" i="3"/>
  <c r="AY280" i="3"/>
  <c r="AY515" i="3"/>
  <c r="AY245" i="3"/>
  <c r="AY163" i="3"/>
  <c r="AY285" i="3"/>
  <c r="AY418" i="3"/>
  <c r="AY487" i="3"/>
  <c r="BB6" i="3"/>
  <c r="AY73" i="3"/>
  <c r="AY135" i="3"/>
  <c r="AY448" i="3"/>
  <c r="AY457" i="3"/>
  <c r="AY38" i="3"/>
  <c r="AY248" i="3"/>
  <c r="AY137" i="3"/>
  <c r="AY223" i="3"/>
  <c r="AY502" i="3"/>
  <c r="AY128" i="3"/>
  <c r="AY264" i="3"/>
  <c r="AY364" i="3"/>
  <c r="AY115" i="3"/>
  <c r="AY420" i="3"/>
  <c r="AY516" i="3"/>
  <c r="AY123" i="3"/>
  <c r="AY465" i="3"/>
  <c r="AY218" i="3"/>
  <c r="AY147" i="3"/>
  <c r="AY498" i="3"/>
  <c r="AY325" i="3"/>
  <c r="AY17" i="3"/>
  <c r="AY113" i="3"/>
  <c r="AY421" i="3"/>
  <c r="AY18" i="3"/>
  <c r="AY105" i="3"/>
  <c r="AY317" i="3"/>
  <c r="AY65" i="3"/>
  <c r="AY346" i="3"/>
  <c r="AY429" i="3"/>
  <c r="AY204" i="3"/>
  <c r="AY257" i="3"/>
  <c r="AY493" i="3"/>
  <c r="AY443" i="3"/>
  <c r="AY446" i="3"/>
  <c r="AY500" i="3"/>
  <c r="AY287" i="3"/>
  <c r="AY497" i="3"/>
  <c r="AY478" i="3"/>
  <c r="AY270" i="3"/>
  <c r="AY212" i="3"/>
  <c r="AY77" i="3"/>
  <c r="AY463" i="3"/>
  <c r="AY136" i="3"/>
  <c r="AY122" i="3"/>
  <c r="AY114" i="3"/>
  <c r="AY160" i="3"/>
  <c r="AY360" i="3"/>
  <c r="AY344" i="3"/>
  <c r="AY455" i="3"/>
  <c r="AY460" i="3"/>
  <c r="AY570" i="3"/>
  <c r="AY74" i="3"/>
  <c r="AY253" i="3"/>
  <c r="AY365" i="3"/>
  <c r="AY60" i="3"/>
  <c r="AY89" i="3"/>
  <c r="AY255" i="3"/>
  <c r="AY525" i="3"/>
  <c r="AY322" i="3"/>
  <c r="AY535" i="3"/>
  <c r="AY256" i="3"/>
  <c r="AY314" i="3"/>
  <c r="AY78" i="3"/>
  <c r="AY300" i="3"/>
  <c r="AY452" i="3"/>
  <c r="AY326" i="3"/>
  <c r="AY201" i="3"/>
  <c r="AY120" i="3"/>
  <c r="AY233" i="3"/>
  <c r="AY244" i="3"/>
  <c r="AY440" i="3"/>
  <c r="AY403" i="3"/>
  <c r="AY79" i="3"/>
  <c r="AY474" i="3"/>
  <c r="AY146" i="3"/>
  <c r="AY187" i="3"/>
  <c r="AY323" i="3"/>
  <c r="AY210" i="3"/>
  <c r="AY94" i="3"/>
  <c r="AY214" i="3"/>
  <c r="AY271" i="3"/>
  <c r="AY370" i="3"/>
  <c r="AY297" i="3"/>
  <c r="AY167" i="3"/>
  <c r="AY165" i="3"/>
  <c r="AY16" i="3"/>
  <c r="AY483" i="3"/>
  <c r="BJ6" i="3"/>
  <c r="AY366" i="3"/>
  <c r="AY85" i="3"/>
  <c r="AY247" i="3"/>
  <c r="AY177" i="3"/>
  <c r="AY477" i="3"/>
  <c r="AY49" i="3"/>
  <c r="AY412" i="3"/>
  <c r="AY227" i="3"/>
  <c r="AY472" i="3"/>
  <c r="AY485" i="3"/>
  <c r="AY71" i="3"/>
  <c r="AY110" i="3"/>
  <c r="AY284" i="3"/>
  <c r="AY496" i="3"/>
  <c r="AY361" i="3"/>
  <c r="AY92" i="3"/>
  <c r="AY166" i="3"/>
  <c r="AY189" i="3"/>
  <c r="AY462" i="3"/>
  <c r="AY427" i="3"/>
  <c r="AY293" i="3"/>
  <c r="AY413" i="3"/>
  <c r="AY393" i="3"/>
  <c r="AY551" i="3"/>
  <c r="D3" i="6"/>
  <c r="K27" i="6"/>
  <c r="M19" i="6"/>
  <c r="S6" i="1"/>
  <c r="M20" i="6"/>
  <c r="I20" i="6" s="1"/>
  <c r="S20" i="6" s="1"/>
  <c r="S7" i="1"/>
  <c r="M21" i="6"/>
  <c r="I21" i="6" s="1"/>
  <c r="S21" i="6" s="1"/>
  <c r="S8" i="1"/>
  <c r="C65" i="15"/>
  <c r="C60" i="15"/>
  <c r="C59" i="15"/>
  <c r="O6" i="1"/>
  <c r="O16" i="1" s="1"/>
  <c r="M16" i="1"/>
  <c r="P6" i="1"/>
  <c r="P16" i="1" s="1"/>
  <c r="C13" i="12" s="1"/>
  <c r="J12" i="40"/>
  <c r="F12" i="40"/>
  <c r="H12" i="40"/>
  <c r="D46" i="9"/>
  <c r="D10" i="11"/>
  <c r="D45" i="9"/>
  <c r="D16" i="12"/>
  <c r="D16" i="43"/>
  <c r="C16" i="43" s="1"/>
  <c r="C21" i="4"/>
  <c r="O5" i="54" s="1"/>
  <c r="B45" i="63" s="1"/>
  <c r="E6" i="6"/>
  <c r="L38" i="9"/>
  <c r="B14" i="66" s="1"/>
  <c r="B1" i="66" s="1"/>
  <c r="C33" i="21"/>
  <c r="H6" i="3"/>
  <c r="E6" i="3" s="1"/>
  <c r="E68" i="39"/>
  <c r="M22" i="6"/>
  <c r="I22" i="6" s="1"/>
  <c r="S22" i="6" s="1"/>
  <c r="S9" i="1"/>
  <c r="C38" i="15"/>
  <c r="C33" i="15"/>
  <c r="C32" i="15"/>
  <c r="J24" i="15"/>
  <c r="J26" i="15"/>
  <c r="J29" i="15" s="1"/>
  <c r="J18" i="15"/>
  <c r="C17" i="15"/>
  <c r="C8" i="66" l="1"/>
  <c r="C7" i="66"/>
  <c r="D19" i="12"/>
  <c r="C19" i="12" s="1"/>
  <c r="C16" i="12"/>
  <c r="U12" i="40"/>
  <c r="AB12" i="40"/>
  <c r="W12" i="40"/>
  <c r="AC12" i="40"/>
  <c r="L16" i="1"/>
  <c r="C13" i="43"/>
  <c r="N16" i="1"/>
  <c r="C29" i="43" s="1"/>
  <c r="M27" i="6"/>
  <c r="I19" i="6"/>
  <c r="C20" i="11"/>
  <c r="C21" i="11" s="1"/>
  <c r="C22" i="11" s="1"/>
  <c r="C23" i="11" s="1"/>
  <c r="B2" i="11" s="1"/>
  <c r="J33" i="21"/>
  <c r="H33" i="21"/>
  <c r="F33" i="21"/>
  <c r="D13" i="11"/>
  <c r="C13" i="11" s="1"/>
  <c r="D22" i="12"/>
  <c r="C22" i="12" s="1"/>
  <c r="C20" i="12" s="1"/>
  <c r="S12" i="40"/>
  <c r="AA12" i="40"/>
  <c r="C17" i="12"/>
  <c r="C14" i="12"/>
  <c r="S16" i="1"/>
  <c r="T6" i="1" s="1"/>
  <c r="H25" i="6"/>
  <c r="F46" i="9"/>
  <c r="H26" i="6"/>
  <c r="H22" i="6"/>
  <c r="H21" i="6"/>
  <c r="D15" i="6"/>
  <c r="D12" i="6"/>
  <c r="D9" i="6"/>
  <c r="D13" i="6"/>
  <c r="D29" i="6"/>
  <c r="D6" i="6"/>
  <c r="D10" i="6"/>
  <c r="H23" i="6"/>
  <c r="H20" i="6"/>
  <c r="D14" i="6"/>
  <c r="E45" i="9"/>
  <c r="F45" i="9"/>
  <c r="D11" i="6"/>
  <c r="D5" i="6"/>
  <c r="E46" i="9"/>
  <c r="H24" i="6"/>
  <c r="B27" i="9"/>
  <c r="D27" i="9" s="1"/>
  <c r="D20" i="6"/>
  <c r="D28" i="6"/>
  <c r="D30" i="6" s="1"/>
  <c r="D8" i="6"/>
  <c r="D23" i="6"/>
  <c r="D25" i="6"/>
  <c r="R25" i="6" s="1"/>
  <c r="D21" i="6"/>
  <c r="H19" i="6"/>
  <c r="E63" i="40"/>
  <c r="F63" i="40" s="1"/>
  <c r="B2" i="40" s="1"/>
  <c r="D22" i="6"/>
  <c r="D19" i="6"/>
  <c r="K38" i="9"/>
  <c r="C14" i="66" s="1"/>
  <c r="B2" i="66" s="1"/>
  <c r="D24" i="6"/>
  <c r="C22" i="4"/>
  <c r="D26" i="6"/>
  <c r="C14" i="15"/>
  <c r="T8" i="1" l="1"/>
  <c r="R26" i="6"/>
  <c r="R24" i="6"/>
  <c r="R21" i="6"/>
  <c r="R8" i="1" s="1"/>
  <c r="R23" i="6"/>
  <c r="C18" i="12"/>
  <c r="C23" i="12" s="1"/>
  <c r="C15" i="15"/>
  <c r="C18" i="15"/>
  <c r="B5" i="11"/>
  <c r="B3" i="11"/>
  <c r="B4" i="11"/>
  <c r="D27" i="6"/>
  <c r="D31" i="6" s="1"/>
  <c r="R19" i="6"/>
  <c r="B4" i="40"/>
  <c r="B3" i="40"/>
  <c r="B5" i="40"/>
  <c r="S33" i="21"/>
  <c r="AA33" i="21"/>
  <c r="W33" i="21"/>
  <c r="AC33" i="21"/>
  <c r="A6" i="64"/>
  <c r="A20" i="64"/>
  <c r="A20" i="51"/>
  <c r="B15" i="63" s="1"/>
  <c r="N5" i="54"/>
  <c r="B43" i="63" s="1"/>
  <c r="A6" i="51"/>
  <c r="B7" i="63" s="1"/>
  <c r="D8" i="66"/>
  <c r="D7" i="66"/>
  <c r="R22" i="6"/>
  <c r="R9" i="1" s="1"/>
  <c r="H27" i="6"/>
  <c r="D16" i="6"/>
  <c r="R20" i="6"/>
  <c r="R7" i="1" s="1"/>
  <c r="T12" i="1"/>
  <c r="T13" i="1"/>
  <c r="T11" i="1"/>
  <c r="T10" i="1"/>
  <c r="T7" i="1"/>
  <c r="U33" i="21"/>
  <c r="AB33" i="21"/>
  <c r="T9" i="1"/>
  <c r="I27" i="6"/>
  <c r="S19" i="6"/>
  <c r="S27" i="6" s="1"/>
  <c r="C14" i="43"/>
  <c r="C17" i="43"/>
  <c r="C16" i="44"/>
  <c r="C18" i="43" l="1"/>
  <c r="C19" i="43" s="1"/>
  <c r="C25" i="43" s="1"/>
  <c r="C24" i="43" s="1"/>
  <c r="T16" i="1"/>
  <c r="C19" i="15"/>
  <c r="C20" i="15" s="1"/>
  <c r="C23" i="15" s="1"/>
  <c r="C17" i="44"/>
  <c r="C20" i="44"/>
  <c r="R27" i="6"/>
  <c r="R6" i="1"/>
  <c r="I6" i="6"/>
  <c r="C11" i="21" s="1"/>
  <c r="I5" i="6"/>
  <c r="M21" i="15"/>
  <c r="F35" i="15"/>
  <c r="J11" i="21" l="1"/>
  <c r="H11" i="21"/>
  <c r="F11" i="21"/>
  <c r="C21" i="44"/>
  <c r="C22" i="44" s="1"/>
  <c r="C26" i="15"/>
  <c r="C29" i="15" s="1"/>
  <c r="C34" i="15"/>
  <c r="C31" i="15" s="1"/>
  <c r="F62" i="15"/>
  <c r="C61" i="15" s="1"/>
  <c r="C58" i="15" s="1"/>
  <c r="J20" i="15"/>
  <c r="R16" i="1"/>
  <c r="C22" i="43"/>
  <c r="C21" i="43" s="1"/>
  <c r="C28" i="43" s="1"/>
  <c r="C30" i="43" s="1"/>
  <c r="C32" i="43" s="1"/>
  <c r="B2" i="43" s="1"/>
  <c r="U11" i="21" l="1"/>
  <c r="AB11" i="21"/>
  <c r="T48" i="21" s="1"/>
  <c r="G48" i="21" s="1"/>
  <c r="S11" i="21"/>
  <c r="AA11" i="21"/>
  <c r="R48" i="21" s="1"/>
  <c r="W11" i="21"/>
  <c r="AC11" i="21"/>
  <c r="V48" i="21" s="1"/>
  <c r="I48" i="21" s="1"/>
  <c r="C25" i="44"/>
  <c r="C28" i="44"/>
  <c r="Q50" i="15"/>
  <c r="C36" i="15"/>
  <c r="J14" i="15"/>
  <c r="J22" i="15" s="1"/>
  <c r="C56" i="15"/>
  <c r="C63" i="15" s="1"/>
  <c r="J19" i="15"/>
  <c r="J17" i="15" s="1"/>
  <c r="C13" i="15"/>
  <c r="Q71" i="15" s="1"/>
  <c r="B5" i="43"/>
  <c r="B4" i="43"/>
  <c r="B3" i="43"/>
  <c r="C37" i="15"/>
  <c r="C30" i="15" s="1"/>
  <c r="C39" i="15" s="1"/>
  <c r="L51" i="15"/>
  <c r="R49" i="21" l="1"/>
  <c r="E48" i="21"/>
  <c r="G53" i="21"/>
  <c r="H53" i="21" s="1"/>
  <c r="G52" i="21"/>
  <c r="H52" i="21" s="1"/>
  <c r="I52" i="21"/>
  <c r="J52" i="21" s="1"/>
  <c r="I53" i="21"/>
  <c r="J53" i="21" s="1"/>
  <c r="C55" i="15"/>
  <c r="C64" i="15" s="1"/>
  <c r="C57" i="15" s="1"/>
  <c r="C66" i="15" s="1"/>
  <c r="C67" i="15" s="1"/>
  <c r="C70" i="15" s="1"/>
  <c r="J13" i="15"/>
  <c r="J23" i="15" s="1"/>
  <c r="J16" i="15" s="1"/>
  <c r="J25" i="15" s="1"/>
  <c r="C31" i="44"/>
  <c r="C38" i="44" s="1"/>
  <c r="J35" i="15"/>
  <c r="J39" i="15" s="1"/>
  <c r="J40" i="15" s="1"/>
  <c r="Q68" i="15"/>
  <c r="Q70" i="15"/>
  <c r="Q69" i="15" s="1"/>
  <c r="C40" i="15"/>
  <c r="C46" i="15" l="1"/>
  <c r="E52" i="21"/>
  <c r="F52" i="21" s="1"/>
  <c r="E53" i="21"/>
  <c r="F53" i="21" s="1"/>
  <c r="C48" i="21"/>
  <c r="C49" i="21"/>
  <c r="B3" i="21" s="1"/>
  <c r="Q51" i="44"/>
  <c r="C35" i="44"/>
  <c r="C33" i="44" s="1"/>
  <c r="C15" i="44"/>
  <c r="Q72" i="44" s="1"/>
  <c r="J21" i="44"/>
  <c r="J19" i="44" s="1"/>
  <c r="J16" i="44"/>
  <c r="J24" i="44" s="1"/>
  <c r="C43" i="15"/>
  <c r="Q66" i="15"/>
  <c r="Q76" i="15" s="1"/>
  <c r="Q57" i="15"/>
  <c r="Q63" i="15" s="1"/>
  <c r="Q48" i="15"/>
  <c r="Q54" i="15" s="1"/>
  <c r="B2" i="15"/>
  <c r="J42" i="15"/>
  <c r="J43" i="15" s="1"/>
  <c r="F8" i="12" l="1"/>
  <c r="B2" i="21"/>
  <c r="B3" i="15"/>
  <c r="C8" i="12" s="1"/>
  <c r="C10" i="12"/>
  <c r="J15" i="44"/>
  <c r="J25" i="44" s="1"/>
  <c r="J18" i="44" s="1"/>
  <c r="J27" i="44" s="1"/>
  <c r="C43" i="44"/>
  <c r="C39" i="44"/>
  <c r="C32" i="44" s="1"/>
  <c r="C42" i="44" s="1"/>
  <c r="D8" i="12" l="1"/>
  <c r="D10" i="12" s="1"/>
  <c r="F10" i="12"/>
  <c r="E8" i="12"/>
  <c r="E10" i="12" s="1"/>
  <c r="C44" i="44"/>
  <c r="C45" i="44" s="1"/>
  <c r="B2" i="44" s="1"/>
  <c r="B5" i="44" s="1"/>
  <c r="Q71" i="44"/>
  <c r="Q70" i="44" s="1"/>
  <c r="C6" i="12" l="1"/>
  <c r="C29" i="12" s="1"/>
  <c r="B3" i="44"/>
  <c r="B4" i="44"/>
  <c r="C24" i="12" l="1"/>
  <c r="C28" i="12" s="1"/>
  <c r="C26" i="12" s="1"/>
  <c r="C31" i="12" s="1"/>
  <c r="C30" i="12" s="1"/>
  <c r="AD12" i="68"/>
  <c r="AD40" i="68" s="1"/>
  <c r="AC12" i="68"/>
  <c r="AC40" i="68" s="1"/>
  <c r="C35" i="12" l="1"/>
  <c r="C33" i="12" s="1"/>
  <c r="C36" i="12" s="1"/>
  <c r="B2" i="12" s="1"/>
  <c r="B5" i="12" s="1"/>
  <c r="AD42" i="68"/>
  <c r="AI41" i="68"/>
  <c r="AH42" i="68"/>
  <c r="Y40" i="68"/>
  <c r="I7" i="6" s="1"/>
  <c r="D19" i="9"/>
  <c r="B4" i="12" l="1"/>
  <c r="L44" i="9"/>
  <c r="B3" i="12"/>
  <c r="C13" i="39"/>
  <c r="G3" i="46"/>
  <c r="H12" i="39"/>
  <c r="J12" i="39"/>
  <c r="F12" i="39"/>
  <c r="D21" i="9"/>
  <c r="D20" i="9"/>
  <c r="S12" i="39" l="1"/>
  <c r="AA12" i="39"/>
  <c r="U12" i="39"/>
  <c r="AB12" i="39"/>
  <c r="H13" i="39"/>
  <c r="F13" i="39"/>
  <c r="J13" i="39"/>
  <c r="W12" i="39"/>
  <c r="AC12" i="39"/>
  <c r="F22" i="46"/>
  <c r="N104" i="45"/>
  <c r="J22" i="46"/>
  <c r="H101" i="46"/>
  <c r="G101" i="46"/>
  <c r="K101" i="46"/>
  <c r="J101" i="46"/>
  <c r="M101" i="46"/>
  <c r="F101" i="46"/>
  <c r="Z11" i="46"/>
  <c r="Z13" i="46" s="1"/>
  <c r="Y11" i="46"/>
  <c r="Y13" i="46" s="1"/>
  <c r="AA11" i="46"/>
  <c r="AA13" i="46" s="1"/>
  <c r="AH11" i="46"/>
  <c r="AH13" i="46" s="1"/>
  <c r="AB11" i="46"/>
  <c r="AB13" i="46" s="1"/>
  <c r="AG11" i="46"/>
  <c r="AG13" i="46" s="1"/>
  <c r="Z7" i="46"/>
  <c r="D101" i="46"/>
  <c r="AD11" i="46"/>
  <c r="AD13" i="46" s="1"/>
  <c r="AE11" i="46"/>
  <c r="AE13" i="46" s="1"/>
  <c r="AF11" i="46"/>
  <c r="AF13" i="46" s="1"/>
  <c r="AI11" i="46"/>
  <c r="AI13" i="46" s="1"/>
  <c r="L101" i="46"/>
  <c r="I101" i="46"/>
  <c r="N101" i="46"/>
  <c r="E101" i="46"/>
  <c r="C101" i="46"/>
  <c r="G22" i="46"/>
  <c r="H22" i="46"/>
  <c r="AJ11" i="46"/>
  <c r="AJ13" i="46" s="1"/>
  <c r="AC11" i="46"/>
  <c r="AC13" i="46" s="1"/>
  <c r="B113" i="46"/>
  <c r="E22" i="46"/>
  <c r="C23" i="46"/>
  <c r="C21" i="46" s="1"/>
  <c r="D22" i="46" l="1"/>
  <c r="E104" i="46"/>
  <c r="E105" i="46"/>
  <c r="E106" i="46"/>
  <c r="E103" i="46"/>
  <c r="E107" i="46"/>
  <c r="E102" i="46"/>
  <c r="E109" i="46"/>
  <c r="I102" i="46"/>
  <c r="I109" i="46"/>
  <c r="I106" i="46"/>
  <c r="I103" i="46"/>
  <c r="I105" i="46"/>
  <c r="I104" i="46"/>
  <c r="I107" i="46"/>
  <c r="D109" i="46"/>
  <c r="D104" i="46"/>
  <c r="D105" i="46"/>
  <c r="D106" i="46"/>
  <c r="D103" i="46"/>
  <c r="D102" i="46"/>
  <c r="D107" i="46"/>
  <c r="M103" i="46"/>
  <c r="M107" i="46"/>
  <c r="M102" i="46"/>
  <c r="M106" i="46"/>
  <c r="M109" i="46"/>
  <c r="M104" i="46"/>
  <c r="M105" i="46"/>
  <c r="K103" i="46"/>
  <c r="K102" i="46"/>
  <c r="K106" i="46"/>
  <c r="K105" i="46"/>
  <c r="K107" i="46"/>
  <c r="K104" i="46"/>
  <c r="K109" i="46"/>
  <c r="H104" i="46"/>
  <c r="H105" i="46"/>
  <c r="H106" i="46"/>
  <c r="H102" i="46"/>
  <c r="H107" i="46"/>
  <c r="H109" i="46"/>
  <c r="H103" i="46"/>
  <c r="AC13" i="39"/>
  <c r="V49" i="39" s="1"/>
  <c r="I49" i="39" s="1"/>
  <c r="W13" i="39"/>
  <c r="U13" i="39"/>
  <c r="AB13" i="39"/>
  <c r="T49" i="39" s="1"/>
  <c r="G49" i="39" s="1"/>
  <c r="C29" i="46"/>
  <c r="G118" i="46"/>
  <c r="H118" i="46" s="1"/>
  <c r="I116" i="46"/>
  <c r="J116" i="46" s="1"/>
  <c r="K116" i="46" s="1"/>
  <c r="L116" i="46" s="1"/>
  <c r="M116" i="46" s="1"/>
  <c r="I118" i="46"/>
  <c r="J118" i="46" s="1"/>
  <c r="K118" i="46" s="1"/>
  <c r="L118" i="46" s="1"/>
  <c r="M118" i="46" s="1"/>
  <c r="I115" i="46"/>
  <c r="J115" i="46" s="1"/>
  <c r="K115" i="46" s="1"/>
  <c r="L115" i="46" s="1"/>
  <c r="M115" i="46" s="1"/>
  <c r="D116" i="46"/>
  <c r="E116" i="46" s="1"/>
  <c r="F116" i="46" s="1"/>
  <c r="G116" i="46" s="1"/>
  <c r="H116" i="46" s="1"/>
  <c r="D118" i="46"/>
  <c r="E118" i="46" s="1"/>
  <c r="F118" i="46" s="1"/>
  <c r="B118" i="46"/>
  <c r="C118" i="46" s="1"/>
  <c r="D117" i="46"/>
  <c r="E117" i="46" s="1"/>
  <c r="F117" i="46" s="1"/>
  <c r="G117" i="46" s="1"/>
  <c r="H117" i="46" s="1"/>
  <c r="B115" i="46"/>
  <c r="D115" i="46"/>
  <c r="E115" i="46" s="1"/>
  <c r="F115" i="46" s="1"/>
  <c r="G115" i="46" s="1"/>
  <c r="H115" i="46" s="1"/>
  <c r="B116" i="46"/>
  <c r="C116" i="46" s="1"/>
  <c r="I117" i="46"/>
  <c r="J117" i="46" s="1"/>
  <c r="K117" i="46" s="1"/>
  <c r="L117" i="46" s="1"/>
  <c r="M117" i="46" s="1"/>
  <c r="B117" i="46"/>
  <c r="C117" i="46" s="1"/>
  <c r="C107" i="46"/>
  <c r="C104" i="46"/>
  <c r="C106" i="46"/>
  <c r="C109" i="46"/>
  <c r="C105" i="46"/>
  <c r="C103" i="46"/>
  <c r="C102" i="46"/>
  <c r="N104" i="46"/>
  <c r="N109" i="46"/>
  <c r="N102" i="46"/>
  <c r="N105" i="46"/>
  <c r="N103" i="46"/>
  <c r="N106" i="46"/>
  <c r="N107" i="46"/>
  <c r="L105" i="46"/>
  <c r="L104" i="46"/>
  <c r="L107" i="46"/>
  <c r="L102" i="46"/>
  <c r="L109" i="46"/>
  <c r="L103" i="46"/>
  <c r="L106" i="46"/>
  <c r="F103" i="46"/>
  <c r="F107" i="46"/>
  <c r="F102" i="46"/>
  <c r="F105" i="46"/>
  <c r="F109" i="46"/>
  <c r="F104" i="46"/>
  <c r="F106" i="46"/>
  <c r="J106" i="46"/>
  <c r="J109" i="46"/>
  <c r="J104" i="46"/>
  <c r="J102" i="46"/>
  <c r="J105" i="46"/>
  <c r="J107" i="46"/>
  <c r="J103" i="46"/>
  <c r="G106" i="46"/>
  <c r="G109" i="46"/>
  <c r="G107" i="46"/>
  <c r="G103" i="46"/>
  <c r="G102" i="46"/>
  <c r="G105" i="46"/>
  <c r="G104" i="46"/>
  <c r="S13" i="39"/>
  <c r="AA13" i="39"/>
  <c r="R49" i="39" s="1"/>
  <c r="S6" i="46" l="1"/>
  <c r="T6" i="46" s="1"/>
  <c r="V6" i="46" s="1"/>
  <c r="S2" i="46"/>
  <c r="T2" i="46" s="1"/>
  <c r="V2" i="46" s="1"/>
  <c r="S5" i="46"/>
  <c r="T5" i="46" s="1"/>
  <c r="V5" i="46" s="1"/>
  <c r="S4" i="46"/>
  <c r="T4" i="46" s="1"/>
  <c r="V4" i="46" s="1"/>
  <c r="S3" i="46"/>
  <c r="T3" i="46" s="1"/>
  <c r="V3" i="46" s="1"/>
  <c r="S7" i="46"/>
  <c r="T7" i="46" s="1"/>
  <c r="V7" i="46" s="1"/>
  <c r="I53" i="39"/>
  <c r="J53" i="39" s="1"/>
  <c r="G53" i="39"/>
  <c r="H53" i="39" s="1"/>
  <c r="G54" i="39"/>
  <c r="H54" i="39" s="1"/>
  <c r="C30" i="46"/>
  <c r="E30" i="46" s="1"/>
  <c r="C27" i="46" s="1"/>
  <c r="E29" i="46"/>
  <c r="E49" i="39"/>
  <c r="R50" i="39"/>
  <c r="C115" i="46"/>
  <c r="D113" i="46" s="1"/>
  <c r="F7" i="67"/>
  <c r="E4" i="67" l="1"/>
  <c r="E54" i="39"/>
  <c r="F54" i="39" s="1"/>
  <c r="E53" i="39"/>
  <c r="F53" i="39" s="1"/>
  <c r="C49" i="39"/>
  <c r="C50" i="39"/>
  <c r="C26" i="46"/>
  <c r="I54" i="39"/>
  <c r="J54" i="39" s="1"/>
  <c r="E7" i="67"/>
  <c r="E3" i="67" l="1"/>
  <c r="B62" i="39"/>
  <c r="F62" i="39" s="1"/>
  <c r="B63" i="39"/>
  <c r="F63" i="39" s="1"/>
  <c r="B61" i="39"/>
  <c r="F61" i="39" s="1"/>
  <c r="B66" i="39"/>
  <c r="F66" i="39" s="1"/>
  <c r="B65" i="39"/>
  <c r="F65" i="39" s="1"/>
  <c r="B59" i="39"/>
  <c r="F59" i="39" s="1"/>
  <c r="B64" i="39"/>
  <c r="F64" i="39" s="1"/>
  <c r="B60" i="39"/>
  <c r="F60" i="39" s="1"/>
  <c r="B67" i="39"/>
  <c r="F67" i="39" s="1"/>
  <c r="B58" i="39"/>
  <c r="F58" i="39" s="1"/>
  <c r="B2" i="46"/>
  <c r="B7" i="67"/>
  <c r="F68" i="39" l="1"/>
  <c r="B2" i="39" s="1"/>
  <c r="B3" i="39" s="1"/>
  <c r="B2" i="67"/>
  <c r="B4" i="46"/>
  <c r="B3" i="46"/>
  <c r="D4" i="46"/>
  <c r="C19" i="9"/>
  <c r="C20" i="9"/>
  <c r="D22" i="9" l="1"/>
  <c r="G19" i="9"/>
  <c r="G22" i="9" s="1"/>
  <c r="L43" i="9"/>
  <c r="B4" i="39"/>
  <c r="B5" i="39"/>
  <c r="G20" i="9"/>
  <c r="B4" i="67"/>
  <c r="B3" i="67"/>
  <c r="C21" i="9"/>
  <c r="N43" i="9" l="1"/>
  <c r="C32" i="9"/>
  <c r="C35" i="9" s="1"/>
  <c r="F42" i="9" s="1"/>
  <c r="G21" i="9"/>
  <c r="O43" i="9"/>
  <c r="C33" i="9" l="1"/>
  <c r="D42" i="9" s="1"/>
  <c r="Q5" i="54" s="1"/>
  <c r="B47" i="63" s="1"/>
  <c r="O38" i="9"/>
  <c r="K25" i="9" s="1"/>
  <c r="C42" i="9"/>
  <c r="D14" i="66" s="1"/>
  <c r="C34" i="9"/>
  <c r="M38" i="9" s="1"/>
  <c r="K27" i="9" s="1"/>
  <c r="N38" i="9"/>
  <c r="K28" i="9" s="1"/>
  <c r="K26" i="9"/>
  <c r="C44" i="9"/>
  <c r="N68" i="9" l="1"/>
  <c r="E42" i="9"/>
  <c r="P5" i="54" s="1"/>
  <c r="B46" i="63" s="1"/>
  <c r="R5" i="54"/>
  <c r="B48" i="63" s="1"/>
  <c r="D63" i="9"/>
  <c r="D70" i="9" s="1"/>
  <c r="D44" i="9"/>
  <c r="F44" i="9"/>
  <c r="O39" i="9"/>
  <c r="E44" i="9"/>
  <c r="G14" i="66"/>
  <c r="B6" i="66" s="1"/>
  <c r="N69" i="9"/>
  <c r="E14" i="66"/>
  <c r="B5" i="66"/>
  <c r="F14" i="66"/>
  <c r="C103" i="9" l="1"/>
  <c r="C82" i="9"/>
  <c r="C81" i="9" s="1"/>
  <c r="C85" i="9" s="1"/>
  <c r="C86" i="9" s="1"/>
  <c r="D72" i="9" s="1"/>
  <c r="C111" i="9"/>
  <c r="C104" i="9" s="1"/>
  <c r="C113" i="9" s="1"/>
  <c r="C114" i="9" s="1"/>
  <c r="E114" i="9" s="1"/>
  <c r="E115" i="9" s="1"/>
  <c r="D71" i="9"/>
  <c r="D66" i="9" s="1"/>
  <c r="N72" i="9" s="1"/>
  <c r="C90" i="9"/>
  <c r="D77" i="9"/>
  <c r="N75" i="9" s="1"/>
  <c r="C96" i="9"/>
  <c r="C91" i="9" s="1"/>
  <c r="C6" i="66"/>
  <c r="D6" i="66"/>
  <c r="K29" i="9"/>
  <c r="K30" i="9" s="1"/>
  <c r="R6" i="54"/>
  <c r="B50" i="63" s="1"/>
  <c r="D5" i="66"/>
  <c r="C5" i="66"/>
  <c r="M86" i="9"/>
  <c r="N86" i="9" s="1"/>
  <c r="M84" i="9"/>
  <c r="N84" i="9" s="1"/>
  <c r="M83" i="9"/>
  <c r="N83" i="9" s="1"/>
  <c r="M85" i="9"/>
  <c r="N85" i="9" s="1"/>
  <c r="M88" i="9"/>
  <c r="N88" i="9" s="1"/>
  <c r="M87" i="9"/>
  <c r="N87" i="9" s="1"/>
  <c r="C97" i="9" l="1"/>
  <c r="C98" i="9" s="1"/>
  <c r="E98" i="9" s="1"/>
  <c r="E99" i="9" s="1"/>
  <c r="N89" i="9"/>
  <c r="O8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<sst xmlns="http://schemas.openxmlformats.org/spreadsheetml/2006/main" count="8200" uniqueCount="3614">
  <si>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</si>
  <si>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</si>
  <si>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</si>
  <si>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</si>
  <si>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</si>
  <si>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</si>
  <si>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</si>
  <si>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</si>
  <si>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</si>
  <si>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</si>
  <si>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</si>
  <si>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</si>
  <si>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</si>
  <si>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</si>
  <si>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</si>
  <si>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</si>
  <si>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</si>
  <si>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</si>
  <si>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</si>
  <si>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</si>
  <si>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</si>
  <si>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</si>
  <si>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</si>
  <si>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</si>
  <si>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</si>
  <si>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</si>
  <si>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</si>
  <si>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</si>
  <si>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</si>
  <si>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</si>
  <si>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</si>
  <si>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</si>
  <si>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</si>
  <si>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</si>
  <si>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</si>
  <si>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</si>
  <si>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</si>
  <si>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</si>
  <si>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</si>
  <si>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</si>
  <si>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</si>
  <si>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</si>
  <si>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</si>
  <si>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</si>
  <si>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</si>
  <si>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</si>
  <si>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</si>
  <si>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</si>
  <si>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</si>
  <si>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</si>
  <si>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</si>
  <si>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</si>
  <si>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</si>
  <si>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</si>
  <si>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</si>
  <si>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</si>
  <si>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</si>
  <si>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</si>
  <si>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</si>
  <si>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</si>
  <si>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</si>
  <si>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</si>
  <si>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</si>
  <si>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</si>
  <si>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</si>
  <si>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</si>
  <si>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</si>
  <si>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</si>
  <si>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</si>
  <si>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</si>
  <si>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</si>
  <si>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</si>
  <si>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</si>
  <si>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</si>
  <si>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</si>
  <si>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</si>
  <si>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</si>
  <si>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</si>
  <si>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</si>
  <si>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</si>
  <si>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</si>
  <si>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</si>
  <si>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</si>
  <si>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</si>
  <si>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</si>
  <si>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</si>
  <si>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</si>
  <si>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</si>
  <si>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</si>
  <si>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</si>
  <si>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</si>
  <si>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</si>
  <si>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</si>
  <si>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</si>
  <si>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</si>
  <si>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</si>
  <si>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</si>
  <si>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</si>
  <si>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</si>
  <si>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</si>
  <si>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</si>
  <si>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</si>
  <si>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</si>
  <si>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</si>
  <si>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</si>
  <si>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</si>
  <si>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</si>
  <si>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</si>
  <si>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</si>
  <si>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</si>
  <si>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</si>
  <si>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</si>
  <si>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</si>
  <si>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</si>
  <si>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</si>
  <si>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</si>
  <si>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</si>
  <si>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</si>
  <si>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</si>
  <si>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</si>
  <si>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</si>
  <si>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</si>
  <si>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</si>
  <si>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</si>
  <si>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</si>
  <si>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</si>
  <si>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</si>
  <si>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</si>
  <si>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</si>
  <si>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</si>
  <si>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</si>
  <si>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</si>
  <si>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</si>
  <si>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</si>
  <si>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</si>
  <si>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</si>
  <si>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</si>
  <si>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</si>
  <si>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</si>
  <si>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</si>
  <si>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</si>
  <si>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</si>
  <si>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</si>
  <si>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</si>
  <si>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</si>
  <si>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</si>
  <si>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</si>
  <si>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</si>
  <si>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</si>
  <si>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</si>
  <si>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</si>
  <si>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</si>
  <si>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</si>
  <si>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</si>
  <si>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</si>
  <si>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</si>
  <si>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</si>
  <si>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</si>
  <si>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</si>
  <si>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</si>
  <si>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</si>
  <si>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</si>
  <si>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</si>
  <si>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</si>
  <si>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</si>
  <si>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</si>
  <si>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</si>
  <si>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</si>
  <si>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</si>
  <si>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</si>
  <si>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</si>
  <si>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</si>
  <si>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</si>
  <si>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</si>
  <si>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</si>
  <si>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</si>
  <si>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</si>
  <si>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</si>
  <si>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</si>
  <si>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</si>
  <si>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</si>
  <si>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</si>
  <si>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</si>
  <si>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</si>
  <si>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</si>
  <si>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</si>
  <si>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</si>
  <si>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</si>
  <si>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</si>
  <si>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</si>
  <si>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</si>
  <si>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</si>
  <si>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</si>
  <si>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</si>
  <si>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</si>
  <si>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</si>
  <si>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</si>
  <si>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</si>
  <si>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</si>
  <si>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</si>
  <si>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</si>
  <si>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</si>
  <si>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</si>
  <si>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</si>
  <si>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</si>
  <si>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</si>
  <si>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</si>
  <si>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</si>
  <si>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</si>
  <si>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</si>
  <si>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</si>
  <si>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</si>
  <si>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</si>
  <si>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</si>
  <si>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</si>
  <si>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</si>
  <si>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</si>
  <si>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</si>
  <si>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</si>
  <si>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</si>
  <si>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</si>
  <si>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</si>
  <si>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</si>
  <si>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</si>
  <si>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</si>
  <si>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</si>
  <si>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</si>
  <si>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</si>
  <si>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</si>
  <si>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</si>
  <si>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</si>
  <si>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</si>
  <si>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</si>
  <si>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</si>
  <si>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</si>
  <si>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</si>
  <si>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</si>
  <si>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</si>
  <si>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</si>
  <si>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</si>
  <si>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</si>
  <si>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</si>
  <si>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</si>
  <si>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</si>
  <si>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</si>
  <si>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</si>
  <si>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</si>
  <si>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</si>
  <si>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</si>
  <si>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</si>
  <si>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</si>
  <si>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</si>
  <si>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</si>
  <si>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</si>
  <si>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</si>
  <si>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</si>
  <si>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</si>
  <si>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</si>
  <si>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</si>
  <si>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</si>
  <si>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</si>
  <si>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</si>
  <si>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</si>
  <si>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</si>
  <si>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</si>
  <si>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</si>
  <si>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</si>
  <si>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</si>
  <si>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</si>
  <si>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</si>
  <si>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</si>
  <si>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</si>
  <si>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</si>
  <si>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</si>
  <si>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</si>
  <si>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</si>
  <si>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</si>
  <si>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</si>
  <si>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</si>
  <si>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</si>
  <si>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</si>
  <si>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</si>
  <si>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</si>
  <si>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</si>
  <si>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</si>
  <si>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</si>
  <si>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</si>
  <si>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</si>
  <si>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</si>
  <si>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</si>
  <si>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</si>
  <si>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</si>
  <si>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</si>
  <si>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</si>
  <si>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</si>
  <si>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</si>
  <si>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</si>
  <si>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</si>
  <si>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</si>
  <si>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</si>
  <si>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</si>
  <si>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</si>
  <si>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</si>
  <si>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</si>
  <si>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</si>
  <si>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</si>
  <si>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</si>
  <si>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</si>
  <si>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</si>
  <si>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</si>
  <si>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</si>
  <si>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</si>
  <si>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</si>
  <si>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</si>
  <si>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</si>
  <si>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</si>
  <si>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</si>
  <si>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</si>
  <si>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</si>
  <si>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</si>
  <si>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</si>
  <si>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</si>
  <si>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</si>
  <si>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</si>
  <si>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</si>
  <si>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</si>
  <si>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</si>
  <si>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</si>
  <si>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</si>
  <si>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</si>
  <si>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</si>
  <si>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</si>
  <si>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</si>
  <si>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</si>
  <si>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</si>
  <si>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</si>
  <si>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</si>
  <si>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</si>
  <si>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</si>
  <si>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</si>
  <si>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</si>
  <si>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</si>
  <si>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</si>
  <si>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</si>
  <si>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</si>
  <si>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</si>
  <si>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</si>
  <si>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</si>
  <si>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</si>
  <si>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</si>
  <si>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</si>
  <si>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</si>
  <si>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</si>
  <si>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</si>
  <si>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</si>
  <si>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</si>
  <si>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</si>
  <si>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</si>
  <si>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</si>
  <si>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</si>
  <si>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</si>
  <si>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</si>
  <si>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</si>
  <si>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</si>
  <si>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</si>
  <si>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</si>
  <si>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</si>
  <si>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</si>
  <si>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</si>
  <si>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</si>
  <si>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</si>
  <si>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</si>
  <si>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</si>
  <si>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</si>
  <si>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</si>
  <si>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</si>
  <si>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</si>
  <si>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</si>
  <si>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</si>
  <si>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</si>
  <si>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</si>
  <si>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</si>
  <si>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</si>
  <si>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</si>
  <si>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</si>
  <si>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</si>
  <si>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</si>
  <si>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</si>
  <si>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</si>
  <si>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</si>
  <si>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</si>
  <si>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</si>
  <si>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</si>
  <si>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</si>
  <si>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</si>
  <si>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</si>
  <si>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</si>
  <si>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</si>
  <si>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</si>
  <si>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</si>
  <si>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</si>
  <si>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</si>
  <si>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</si>
  <si>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</si>
  <si>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</si>
  <si>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</si>
  <si>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</si>
  <si>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</si>
  <si>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</si>
  <si>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</si>
  <si>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</si>
  <si>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</si>
  <si>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</si>
  <si>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</si>
  <si>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</si>
  <si>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</si>
  <si>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</si>
  <si>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</si>
  <si>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</si>
  <si>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</si>
  <si>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</si>
  <si>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</si>
  <si>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</si>
  <si>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</si>
  <si>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</si>
  <si>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</si>
  <si>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</si>
  <si>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</si>
  <si>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</si>
  <si>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</si>
  <si>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</si>
  <si>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</si>
  <si>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</si>
  <si>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</si>
  <si>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</si>
  <si>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</si>
  <si>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</si>
  <si>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</si>
  <si>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</si>
  <si>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</si>
  <si>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</si>
  <si>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</si>
  <si>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</si>
  <si>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</si>
  <si>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</si>
  <si>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</si>
  <si>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</si>
  <si>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</si>
  <si>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</si>
  <si>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</si>
  <si>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</si>
  <si>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</si>
  <si>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</si>
  <si>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</si>
  <si>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</si>
  <si>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</si>
  <si>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</si>
  <si>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</si>
  <si>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</si>
  <si>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</si>
  <si>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</si>
  <si>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</si>
  <si>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</si>
  <si>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</si>
  <si>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</si>
  <si>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</si>
  <si>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</si>
  <si>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</si>
  <si>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</si>
  <si>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</si>
  <si>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</si>
  <si>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</si>
  <si>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</si>
  <si>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</si>
  <si>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</si>
  <si>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</si>
  <si>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</si>
  <si>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</si>
  <si>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</si>
  <si>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</si>
  <si>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</si>
  <si>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</si>
  <si>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</si>
  <si>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</si>
  <si>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</si>
  <si>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</si>
  <si>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</si>
  <si>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</si>
  <si>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</si>
  <si>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</si>
  <si>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</si>
  <si>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</si>
  <si>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</si>
  <si>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</si>
  <si>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</si>
  <si>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</si>
  <si>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</si>
  <si>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</si>
  <si>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</si>
  <si>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</si>
  <si>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</si>
  <si>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</si>
  <si>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</si>
  <si>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</si>
  <si>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</si>
  <si>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</si>
  <si>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</si>
  <si>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</si>
  <si>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</si>
  <si>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</si>
  <si>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</si>
  <si>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</si>
  <si>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</si>
  <si>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</si>
  <si>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</si>
  <si>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</si>
  <si>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</si>
  <si>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</si>
  <si>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</si>
  <si>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</si>
  <si>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</si>
  <si>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</si>
  <si>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</si>
  <si>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</si>
  <si>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</si>
  <si>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</si>
  <si>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</si>
  <si>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</si>
  <si>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</si>
  <si>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</si>
  <si>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</si>
  <si>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</si>
  <si>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</si>
  <si>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</si>
  <si>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</si>
  <si>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</si>
  <si>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</si>
  <si>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</si>
  <si>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</si>
  <si>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</si>
  <si>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</si>
  <si>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</si>
  <si>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</si>
  <si>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</si>
  <si>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</si>
  <si>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</si>
  <si>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</si>
  <si>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</si>
  <si>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</si>
  <si>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</si>
  <si>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</si>
  <si>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</si>
  <si>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</si>
  <si>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</si>
  <si>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</si>
  <si>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</si>
  <si>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</si>
  <si>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</si>
  <si>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</si>
  <si>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</si>
  <si>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</si>
  <si>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</si>
  <si>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</si>
  <si>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</si>
  <si>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</si>
  <si>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</si>
  <si>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</si>
  <si>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</si>
  <si>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</si>
  <si>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</si>
  <si>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</si>
  <si>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</si>
  <si>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</si>
  <si>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</si>
  <si>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</si>
  <si>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</si>
  <si>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</si>
  <si>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</si>
  <si>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</si>
  <si>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</si>
  <si>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</si>
  <si>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</si>
  <si>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</si>
  <si>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</si>
  <si>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</si>
  <si>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</si>
  <si>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</si>
  <si>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</si>
  <si>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</si>
  <si>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</si>
  <si>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</si>
  <si>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</si>
  <si>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</si>
  <si>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</si>
  <si>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</si>
  <si>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</si>
  <si>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</si>
  <si>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</si>
  <si>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</si>
  <si>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</si>
  <si>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</si>
  <si>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</si>
  <si>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</si>
  <si>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</si>
  <si>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</si>
  <si>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</si>
  <si>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</si>
  <si>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</si>
  <si>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</si>
  <si>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</si>
  <si>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</si>
  <si>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</si>
  <si>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</si>
  <si>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</si>
  <si>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</si>
  <si>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</si>
  <si>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</si>
  <si>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</si>
  <si>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</si>
  <si>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</si>
  <si>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</si>
  <si>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</si>
  <si>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</si>
  <si>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</si>
  <si>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</si>
  <si>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</si>
  <si>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</si>
  <si>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</si>
  <si>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</si>
  <si>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</si>
  <si>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</si>
  <si>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</si>
  <si>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</si>
  <si>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</si>
  <si>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</si>
  <si>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</si>
  <si>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</si>
  <si>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</si>
  <si>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</si>
  <si>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</si>
  <si>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</si>
  <si>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</si>
  <si>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</si>
  <si>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</si>
  <si>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</si>
  <si>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</si>
  <si>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</si>
  <si>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</si>
  <si>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</si>
  <si>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</si>
  <si>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</si>
  <si>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</si>
  <si>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</si>
  <si>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</si>
  <si>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</si>
  <si>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</si>
  <si>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</si>
  <si>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</si>
  <si>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</si>
  <si>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</si>
  <si>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</si>
  <si>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</si>
  <si>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</si>
  <si>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</si>
  <si>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</si>
  <si>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</si>
  <si>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</si>
  <si>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</si>
  <si>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</si>
  <si>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</si>
  <si>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</si>
  <si>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</si>
  <si>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</si>
  <si>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</si>
  <si>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</si>
  <si>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</si>
  <si>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</si>
  <si>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</si>
  <si>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</si>
  <si>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</si>
  <si>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</si>
  <si>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</si>
  <si>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</si>
  <si>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</si>
  <si>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</si>
  <si>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</si>
  <si>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</si>
  <si>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</si>
  <si>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</si>
  <si>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</si>
  <si>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</si>
  <si>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</si>
  <si>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</si>
  <si>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</si>
  <si>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</si>
  <si>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</si>
  <si>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</si>
  <si>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</si>
  <si>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</si>
  <si>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</si>
  <si>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</si>
  <si>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</si>
  <si>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</si>
  <si>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</si>
  <si>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</si>
  <si>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</si>
  <si>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</si>
  <si>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</si>
  <si>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</si>
  <si>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</si>
  <si>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</si>
  <si>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</si>
  <si>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</si>
  <si>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</si>
  <si>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</si>
  <si>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</si>
  <si>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</si>
  <si>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</si>
  <si>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</si>
  <si>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</si>
  <si>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</si>
  <si>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</si>
  <si>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</si>
  <si>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</si>
  <si>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</si>
  <si>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</si>
  <si>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</si>
  <si>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</si>
  <si>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</si>
  <si>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</si>
  <si>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</si>
  <si>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</si>
  <si>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</si>
  <si>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</si>
  <si>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</si>
  <si>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</si>
  <si>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</si>
  <si>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</si>
  <si>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</si>
  <si>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</si>
  <si>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</si>
  <si>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</si>
  <si>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</si>
  <si>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</si>
  <si>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</si>
  <si>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</si>
  <si>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</si>
  <si>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</si>
  <si>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</si>
  <si>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</si>
  <si>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</si>
  <si>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</si>
  <si>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</si>
  <si>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</si>
  <si>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</si>
  <si>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</si>
  <si>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</si>
  <si>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</si>
  <si>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</si>
  <si>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</si>
  <si>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</si>
  <si>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</si>
  <si>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</si>
  <si>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</si>
  <si>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</si>
  <si>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</si>
  <si>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</si>
  <si>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</si>
  <si>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</si>
  <si>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</si>
  <si>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</si>
  <si>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</si>
  <si>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</si>
  <si>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</si>
  <si>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</si>
  <si>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</si>
  <si>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</si>
  <si>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</si>
  <si>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</si>
  <si>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</si>
  <si>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</si>
  <si>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</si>
  <si>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</si>
  <si>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</si>
  <si>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</si>
  <si>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</si>
  <si>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</si>
  <si>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</si>
  <si>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</si>
  <si>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</si>
  <si>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</si>
  <si>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</si>
  <si>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</si>
  <si>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</si>
  <si>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</si>
  <si>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</si>
  <si>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</si>
  <si>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</si>
  <si>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</si>
  <si>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</si>
  <si>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</si>
  <si>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</si>
  <si>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</si>
  <si>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</si>
  <si>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</si>
  <si>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</si>
  <si>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</si>
  <si>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</si>
  <si>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</si>
  <si>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</si>
  <si>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</si>
  <si>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</si>
  <si>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</si>
  <si>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</si>
  <si>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</si>
  <si>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</si>
  <si>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</si>
  <si>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</si>
  <si>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</si>
  <si>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</si>
  <si>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</si>
  <si>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</si>
  <si>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</si>
  <si>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</si>
  <si>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</si>
  <si>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</si>
  <si>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</si>
  <si>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</si>
  <si>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</si>
  <si>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</si>
  <si>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</si>
  <si>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</si>
  <si>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</si>
  <si>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</si>
  <si>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</si>
  <si>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</si>
  <si>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</si>
  <si>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</si>
  <si>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</si>
  <si>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</si>
  <si>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</si>
  <si>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</si>
  <si>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</si>
  <si>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</si>
  <si>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</si>
  <si>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</si>
  <si>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</si>
  <si>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</si>
  <si>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</si>
  <si>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</si>
  <si>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</si>
  <si>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</si>
  <si>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</si>
  <si>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</si>
  <si>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</si>
  <si>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</si>
  <si>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</si>
  <si>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</si>
  <si>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</si>
  <si>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</si>
  <si>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</si>
  <si>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</si>
  <si>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</si>
  <si>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</si>
  <si>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</si>
  <si>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</si>
  <si>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</si>
  <si>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</si>
  <si>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</si>
  <si>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</si>
  <si>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</si>
  <si>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</si>
  <si>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</si>
  <si>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</si>
  <si>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</si>
  <si>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</si>
  <si>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</si>
  <si>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</si>
  <si>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</si>
  <si>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</si>
  <si>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</si>
  <si>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</si>
  <si>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</si>
  <si>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</si>
  <si>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</si>
  <si>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</si>
  <si>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</si>
  <si>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</si>
  <si>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</si>
  <si>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</si>
  <si>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</si>
  <si>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</si>
  <si>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</si>
  <si>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</si>
  <si>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</si>
  <si>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</si>
  <si>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</si>
  <si>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</si>
  <si>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</si>
  <si>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</si>
  <si>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</si>
  <si>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</si>
  <si>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</si>
  <si>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</si>
  <si>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</si>
  <si>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</si>
  <si>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</si>
  <si>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</si>
  <si>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</si>
  <si>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</si>
  <si>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</si>
  <si>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</si>
  <si>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</si>
  <si>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</si>
  <si>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</si>
  <si>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</si>
  <si>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</si>
  <si>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</si>
  <si>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</si>
  <si>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</si>
  <si>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</si>
  <si>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</si>
  <si>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</si>
  <si>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</si>
  <si>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</si>
  <si>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</si>
  <si>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</si>
  <si>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</si>
  <si>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</si>
  <si>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</si>
  <si>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</si>
  <si>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</si>
  <si>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</si>
  <si>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</si>
  <si>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</si>
  <si>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</si>
  <si>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</si>
  <si>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</si>
  <si>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</si>
  <si>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</si>
  <si>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</si>
  <si>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</si>
  <si>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</si>
  <si>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</si>
  <si>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</si>
  <si>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</si>
  <si>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</si>
  <si>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</si>
  <si>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</si>
  <si>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</si>
  <si>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</si>
  <si>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</si>
  <si>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</si>
  <si>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</si>
  <si>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</si>
  <si>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</si>
  <si>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</si>
  <si>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</si>
  <si>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</si>
  <si>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</si>
  <si>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</si>
  <si>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</si>
  <si>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</si>
  <si>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</si>
  <si>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</si>
  <si>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</si>
  <si>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</si>
  <si>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</si>
  <si>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</si>
  <si>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</si>
  <si>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</si>
  <si>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</si>
  <si>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</si>
  <si>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</si>
  <si>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</si>
  <si>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</si>
  <si>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</si>
  <si>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</si>
  <si>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</si>
  <si>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</si>
  <si>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</si>
  <si>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</si>
  <si>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</si>
  <si>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</si>
  <si>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</si>
  <si>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</si>
  <si>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</si>
  <si>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</si>
  <si>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</si>
  <si>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</si>
  <si>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</si>
  <si>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</si>
  <si>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</si>
  <si>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</si>
  <si>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</si>
  <si>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</si>
  <si>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</si>
  <si>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</si>
  <si>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</si>
  <si>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</si>
  <si>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</si>
  <si>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</si>
  <si>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</si>
  <si>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</si>
  <si>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</si>
  <si>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</si>
  <si>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</si>
  <si>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</si>
  <si>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</si>
  <si>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</si>
  <si>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</si>
  <si>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</si>
  <si>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</si>
  <si>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</si>
  <si>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</si>
  <si>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</si>
  <si>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</si>
  <si>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</si>
  <si>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</si>
  <si>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</si>
  <si>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</si>
  <si>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</si>
  <si>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</si>
  <si>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</si>
  <si>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</si>
  <si>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</si>
  <si>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</si>
  <si>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</si>
  <si>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</si>
  <si>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</si>
  <si>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</si>
  <si>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</si>
  <si>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</si>
  <si>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</si>
  <si>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</si>
  <si>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</si>
  <si>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</si>
  <si>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</si>
  <si>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</si>
  <si>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</si>
  <si>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</si>
  <si>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</si>
  <si>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</si>
  <si>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</si>
  <si>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</si>
  <si>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</si>
  <si>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</si>
  <si>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</si>
  <si>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</si>
  <si>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</si>
  <si>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</si>
  <si>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</si>
  <si>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</si>
  <si>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</si>
  <si>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</si>
  <si>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</si>
  <si>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</si>
  <si>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</si>
  <si>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</si>
  <si>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</si>
  <si>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</si>
  <si>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</si>
  <si>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</si>
  <si>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</si>
  <si>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</si>
  <si>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</si>
  <si>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</si>
  <si>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</si>
  <si>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</si>
  <si>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</si>
  <si>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</si>
  <si>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</si>
  <si>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</si>
  <si>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</si>
  <si>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</si>
  <si>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</si>
  <si>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</si>
  <si>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</si>
  <si>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</si>
  <si>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</si>
  <si>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</si>
  <si>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</si>
  <si>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</si>
  <si>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</si>
  <si>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</si>
  <si>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</si>
  <si>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</si>
  <si>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</si>
  <si>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</si>
  <si>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</si>
  <si>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</si>
  <si>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</si>
  <si>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</si>
  <si>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</si>
  <si>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</si>
  <si>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</si>
  <si>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</si>
  <si>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</si>
  <si>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</si>
  <si>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</si>
  <si>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</si>
  <si>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</si>
  <si>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</si>
  <si>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</si>
  <si>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</si>
  <si>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</si>
  <si>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</si>
  <si>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</si>
  <si>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</si>
  <si>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</si>
  <si>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</si>
  <si>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</si>
  <si>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</si>
  <si>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</si>
  <si>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</si>
  <si>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</si>
  <si>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</si>
  <si>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</si>
  <si>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</si>
  <si>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</si>
  <si>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</si>
  <si>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</si>
  <si>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</si>
  <si>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</si>
  <si>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</si>
  <si>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</si>
  <si>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</si>
  <si>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</si>
  <si>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</si>
  <si>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</si>
  <si>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</si>
  <si>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</si>
  <si>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</si>
  <si>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</si>
  <si>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</si>
  <si>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</si>
  <si>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</si>
  <si>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</si>
  <si>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</si>
  <si>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</si>
  <si>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</si>
  <si>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</si>
  <si>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</si>
  <si>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</si>
  <si>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</si>
  <si>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</si>
  <si>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</si>
  <si>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</si>
  <si>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</si>
  <si>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</si>
  <si>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</si>
  <si>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</si>
  <si>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</si>
  <si>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</si>
  <si>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</si>
  <si>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</si>
  <si>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</si>
  <si>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</si>
  <si>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</si>
  <si>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</si>
  <si>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</si>
  <si>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</si>
  <si>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</si>
  <si>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</si>
  <si>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</si>
  <si>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</si>
  <si>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</si>
  <si>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</si>
  <si>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</si>
  <si>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</si>
  <si>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</si>
  <si>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</si>
  <si>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</si>
  <si>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</si>
  <si>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</si>
  <si>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</si>
  <si>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</si>
  <si>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</si>
  <si>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</si>
  <si>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</si>
  <si>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</si>
  <si>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</si>
  <si>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</si>
  <si>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</si>
  <si>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</si>
  <si>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</si>
  <si>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</si>
  <si>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</si>
  <si>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</si>
  <si>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</si>
  <si>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</si>
  <si>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</si>
  <si>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</si>
  <si>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</si>
  <si>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</si>
  <si>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</si>
  <si>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</si>
  <si>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</si>
  <si>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</si>
  <si>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</si>
  <si>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</si>
  <si>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</si>
  <si>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</si>
  <si>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</si>
  <si>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</si>
  <si>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</si>
  <si>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</si>
  <si>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</si>
  <si>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</si>
  <si>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</si>
  <si>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</si>
  <si>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</si>
  <si>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</si>
  <si>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</si>
  <si>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</si>
  <si>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</si>
  <si>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</si>
  <si>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</si>
  <si>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</si>
  <si>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</si>
  <si>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</si>
  <si>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</si>
  <si>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</si>
  <si>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</si>
  <si>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</si>
  <si>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</si>
  <si>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</si>
  <si>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</si>
  <si>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</si>
  <si>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</si>
  <si>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</si>
  <si>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</si>
  <si>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</si>
  <si>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</si>
  <si>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</si>
  <si>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</si>
  <si>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</si>
  <si>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</si>
  <si>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</si>
  <si>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</si>
  <si>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</si>
  <si>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</si>
  <si>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</si>
  <si>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</si>
  <si>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</si>
  <si>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</si>
  <si>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</si>
  <si>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</si>
  <si>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</si>
  <si>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</si>
  <si>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</si>
  <si>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</si>
  <si>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</si>
  <si>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</si>
  <si>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</si>
  <si>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</si>
  <si>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</si>
  <si>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</si>
  <si>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</si>
  <si>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</si>
  <si>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</si>
  <si>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</si>
  <si>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</si>
  <si>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</si>
  <si>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</si>
  <si>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</si>
  <si>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</si>
  <si>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</si>
  <si>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</si>
  <si>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</si>
  <si>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</si>
  <si>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</si>
  <si>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</si>
  <si>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</si>
  <si>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</si>
  <si>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</si>
  <si>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</si>
  <si>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</si>
  <si>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</si>
  <si>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</si>
  <si>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</si>
  <si>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</si>
  <si>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</si>
  <si>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</si>
  <si>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</si>
  <si>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</si>
  <si>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</si>
  <si>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</si>
  <si>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</si>
  <si>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</si>
  <si>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</si>
  <si>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</si>
  <si>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</si>
  <si>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</si>
  <si>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</si>
  <si>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</si>
  <si>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</si>
  <si>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</si>
  <si>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</si>
  <si>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</si>
  <si>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</si>
  <si>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</si>
  <si>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</si>
  <si>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</si>
  <si>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</si>
  <si>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</si>
  <si>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</si>
  <si>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</si>
  <si>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</si>
  <si>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</si>
  <si>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</si>
  <si>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</si>
  <si>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</si>
  <si>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</si>
  <si>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</si>
  <si>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</si>
  <si>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</si>
  <si>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</si>
  <si>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</si>
  <si>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</si>
  <si>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</si>
  <si>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</si>
  <si>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</si>
  <si>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</si>
  <si>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</si>
  <si>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</si>
  <si>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</si>
  <si>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</si>
  <si>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</si>
  <si>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</si>
  <si>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</si>
  <si>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</si>
  <si>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</si>
  <si>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</si>
  <si>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</si>
  <si>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</si>
  <si>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</si>
  <si>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</si>
  <si>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</si>
  <si>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</si>
  <si>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</si>
  <si>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</si>
  <si>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</si>
  <si>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</si>
  <si>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</si>
  <si>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</si>
  <si>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</si>
  <si>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</si>
  <si>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</si>
  <si>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</si>
  <si>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</si>
  <si>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</si>
  <si>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</si>
  <si>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</si>
  <si>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</si>
  <si>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</si>
  <si>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</si>
  <si>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</si>
  <si>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</si>
  <si>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</si>
  <si>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</si>
  <si>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</si>
  <si>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</si>
  <si>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</si>
  <si>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</si>
  <si>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</si>
  <si>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</si>
  <si>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</si>
  <si>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</si>
  <si>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</si>
  <si>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</si>
  <si>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</si>
  <si>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</si>
  <si>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</si>
  <si>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</si>
  <si>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</si>
  <si>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</si>
  <si>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</si>
  <si>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</si>
  <si>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</si>
  <si>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</si>
  <si>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</si>
  <si>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</si>
  <si>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</si>
  <si>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</si>
  <si>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</si>
  <si>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</si>
  <si>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</si>
  <si>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</si>
  <si>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</si>
  <si>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</si>
  <si>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</si>
  <si>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</si>
  <si>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</si>
  <si>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</si>
  <si>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</si>
  <si>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</si>
  <si>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</si>
  <si>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</si>
  <si>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</si>
  <si>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</si>
  <si>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</si>
  <si>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</si>
  <si>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</si>
  <si>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</si>
  <si>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</si>
  <si>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</si>
  <si>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</si>
  <si>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</si>
  <si>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</si>
  <si>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</si>
  <si>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</si>
  <si>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</si>
  <si>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</si>
  <si>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</si>
  <si>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</si>
  <si>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</si>
  <si>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</si>
  <si>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</si>
  <si>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</si>
  <si>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</si>
  <si>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</si>
  <si>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</si>
  <si>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</si>
  <si>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</si>
  <si>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</si>
  <si>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</si>
  <si>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</si>
  <si>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</si>
  <si>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</si>
  <si>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</si>
  <si>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</si>
  <si>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</si>
  <si>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</si>
  <si>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</si>
  <si>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</si>
  <si>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</si>
  <si>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</si>
  <si>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</si>
  <si>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</si>
  <si>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</si>
  <si>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</si>
  <si>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</si>
  <si>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</si>
  <si>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</si>
  <si>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</si>
  <si>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</si>
  <si>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</si>
  <si>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</si>
  <si>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</si>
  <si>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</si>
  <si>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</si>
  <si>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</si>
  <si>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</si>
  <si>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</si>
  <si>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</si>
  <si>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</si>
  <si>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</si>
  <si>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</si>
  <si>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</si>
  <si>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</si>
  <si>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</si>
  <si>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</si>
  <si>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</si>
  <si>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</si>
  <si>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</si>
  <si>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</si>
  <si>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</si>
  <si>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</si>
  <si>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</si>
  <si>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</si>
  <si>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</si>
  <si>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</si>
  <si>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</si>
  <si>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</si>
  <si>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</si>
  <si>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</si>
  <si>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</si>
  <si>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</si>
  <si>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</si>
  <si>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</si>
  <si>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</si>
  <si>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</si>
  <si>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</si>
  <si>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</si>
  <si>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</si>
  <si>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</si>
  <si>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</si>
  <si>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</si>
  <si>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</si>
  <si>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</si>
  <si>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</si>
  <si>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</si>
  <si>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</si>
  <si>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</si>
  <si>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</si>
  <si>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</si>
  <si>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</si>
  <si>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</si>
  <si>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</si>
  <si>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</si>
  <si>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</si>
  <si>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</si>
  <si>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</si>
  <si>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</si>
  <si>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</si>
  <si>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</si>
  <si>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</si>
  <si>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</si>
  <si>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</si>
  <si>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</si>
  <si>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</si>
  <si>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</si>
  <si>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</si>
  <si>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</si>
  <si>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</si>
  <si>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</si>
  <si>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</si>
  <si>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</si>
  <si>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</si>
  <si>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</si>
  <si>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</si>
  <si>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</si>
  <si>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</si>
  <si>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</si>
  <si>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</si>
  <si>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</si>
  <si>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</si>
  <si>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</si>
  <si>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</si>
  <si>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</si>
  <si>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</si>
  <si>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</si>
  <si>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</si>
  <si>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</si>
  <si>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</si>
  <si>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</si>
  <si>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</si>
  <si>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</si>
  <si>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</si>
  <si>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</si>
  <si>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</si>
  <si>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</si>
  <si>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</si>
  <si>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</si>
  <si>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</si>
  <si>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</si>
  <si>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</si>
  <si>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</si>
  <si>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</si>
  <si>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</si>
  <si>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</si>
  <si>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</si>
  <si>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</si>
  <si>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</si>
  <si>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</si>
  <si>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</si>
  <si>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</si>
  <si>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</si>
  <si>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</si>
  <si>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</si>
  <si>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</si>
  <si>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</si>
  <si>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</si>
  <si>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</si>
  <si>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</si>
  <si>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</si>
  <si>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</si>
  <si>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</si>
  <si>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</si>
  <si>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</si>
  <si>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</si>
  <si>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</si>
  <si>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</si>
  <si>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</si>
  <si>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</si>
  <si>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</si>
  <si>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</si>
  <si>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</si>
  <si>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</si>
  <si>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</si>
  <si>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</si>
  <si>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</si>
  <si>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</si>
  <si>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</si>
  <si>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</si>
  <si>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</si>
  <si>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</si>
  <si>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</si>
  <si>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</si>
  <si>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</si>
  <si>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</si>
  <si>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</si>
  <si>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</si>
  <si>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</si>
  <si>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</si>
  <si>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</si>
  <si>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</si>
  <si>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</si>
  <si>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</si>
  <si>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</si>
  <si>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</si>
  <si>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</si>
  <si>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</si>
  <si>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</si>
  <si>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</si>
  <si>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</si>
  <si>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</si>
  <si>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</si>
  <si>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</si>
  <si>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</si>
  <si>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</si>
  <si>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</si>
  <si>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</si>
  <si>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</si>
  <si>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</si>
  <si>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</si>
  <si>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</si>
  <si>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</si>
  <si>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</si>
  <si>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</si>
  <si>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</si>
  <si>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</si>
  <si>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</si>
  <si>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</si>
  <si>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</si>
  <si>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</si>
  <si>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</si>
  <si>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</si>
  <si>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</si>
  <si>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</si>
  <si>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</si>
  <si>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</si>
  <si>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</si>
  <si>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</si>
  <si>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</si>
  <si>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</si>
  <si>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</si>
  <si>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</si>
  <si>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</si>
  <si>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</si>
  <si>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</si>
  <si>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</si>
  <si>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</si>
  <si>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</si>
  <si>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</si>
  <si>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</si>
  <si>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</si>
  <si>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</si>
  <si>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</si>
  <si>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</si>
  <si>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</si>
  <si>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</si>
  <si>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</si>
  <si>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</si>
  <si>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</si>
  <si>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</si>
  <si>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</si>
  <si>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</si>
  <si>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</si>
  <si>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</si>
  <si>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</si>
  <si>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</si>
  <si>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</si>
  <si>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</si>
  <si>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</si>
  <si>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</si>
  <si>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</si>
  <si>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</si>
  <si>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</si>
  <si>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</si>
  <si>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</si>
  <si>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</si>
  <si>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</si>
  <si>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</si>
  <si>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</si>
  <si>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</si>
  <si>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</si>
  <si>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</si>
  <si>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</si>
  <si>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</si>
  <si>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</si>
  <si>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</si>
  <si>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</si>
  <si>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</si>
  <si>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</si>
  <si>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</si>
  <si>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</si>
  <si>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</si>
  <si>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</si>
  <si>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</si>
  <si>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</si>
  <si>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</si>
  <si>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</si>
  <si>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</si>
  <si>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</si>
  <si>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</si>
  <si>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</si>
  <si>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</si>
  <si>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</si>
  <si>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</si>
  <si>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</si>
  <si>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</si>
  <si>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</si>
  <si>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</si>
  <si>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</si>
  <si>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</si>
  <si>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</si>
  <si>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</si>
  <si>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</si>
  <si>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</si>
  <si>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</si>
  <si>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</si>
  <si>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</si>
  <si>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</si>
  <si>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</si>
  <si>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</si>
  <si>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</si>
  <si>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</si>
  <si>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</si>
  <si>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</si>
  <si>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</si>
  <si>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</si>
  <si>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</si>
  <si>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</si>
  <si>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</si>
  <si>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</si>
  <si>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</si>
  <si>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</si>
  <si>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</si>
  <si>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</si>
  <si>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</si>
  <si>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</si>
  <si>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</si>
  <si>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</si>
  <si>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</si>
  <si>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</si>
  <si>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</si>
  <si>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</si>
  <si>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</si>
  <si>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</si>
  <si>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</si>
  <si>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</si>
  <si>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</si>
  <si>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</si>
  <si>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</si>
  <si>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</si>
  <si>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</si>
  <si>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</si>
  <si>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</si>
  <si>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</si>
  <si>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</si>
  <si>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</si>
  <si>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</si>
  <si>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</si>
  <si>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</si>
  <si>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</si>
  <si>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</si>
  <si>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</si>
  <si>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</si>
  <si>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</si>
  <si>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</si>
  <si>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</si>
  <si>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</si>
  <si>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</si>
  <si>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</si>
  <si>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</si>
  <si>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</si>
  <si>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</si>
  <si>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</si>
  <si>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</si>
  <si>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</si>
  <si>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</si>
  <si>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</si>
  <si>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</si>
  <si>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</si>
  <si>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</si>
  <si>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</si>
  <si>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</si>
  <si>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</si>
  <si>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</si>
  <si>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</si>
  <si>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</si>
  <si>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</si>
  <si>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</si>
  <si>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</si>
  <si>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</si>
  <si>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</si>
  <si>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</si>
  <si>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</si>
  <si>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</si>
  <si>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</si>
  <si>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</si>
  <si>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</si>
  <si>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</si>
  <si>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</si>
  <si>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</si>
  <si>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</si>
  <si>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</si>
  <si>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</si>
  <si>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</si>
  <si>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</si>
  <si>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</si>
  <si>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</si>
  <si>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</si>
  <si>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</si>
  <si>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</si>
  <si>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</si>
  <si>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</si>
  <si>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</si>
  <si>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</si>
  <si>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</si>
  <si>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</si>
  <si>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</si>
  <si>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</si>
  <si>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</si>
  <si>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</si>
  <si>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</si>
  <si>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</si>
  <si>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</si>
  <si>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</si>
  <si>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</si>
  <si>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</si>
  <si>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</si>
  <si>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</si>
  <si>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</si>
  <si>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</si>
  <si>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</si>
  <si>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</si>
  <si>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</si>
  <si>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</si>
  <si>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</si>
  <si>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</si>
  <si>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</si>
  <si>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</si>
  <si>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</si>
  <si>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</si>
  <si>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</si>
  <si>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</si>
  <si>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</si>
  <si>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</si>
  <si>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</si>
  <si>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</si>
  <si>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</si>
  <si>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</si>
  <si>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</si>
  <si>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</si>
  <si>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</si>
  <si>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</si>
  <si>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</si>
  <si>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</si>
  <si>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</si>
  <si>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</si>
  <si>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</si>
  <si>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</si>
  <si>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</si>
  <si>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</si>
  <si>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</si>
  <si>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</si>
  <si>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</si>
  <si>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</si>
  <si>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</si>
  <si>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</si>
  <si>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</si>
  <si>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</si>
  <si>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</si>
  <si>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</si>
  <si>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</si>
  <si>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</si>
  <si>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</si>
  <si>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</si>
  <si>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</si>
  <si>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</si>
  <si>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</si>
  <si>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</si>
  <si>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</si>
  <si>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</si>
  <si>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</si>
  <si>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</si>
  <si>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</si>
  <si>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</si>
  <si>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</si>
  <si>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</si>
  <si>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</si>
  <si>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</si>
  <si>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</si>
  <si>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</si>
  <si>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</si>
  <si>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</si>
  <si>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</si>
  <si>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</si>
  <si>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</si>
  <si>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</si>
  <si>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</si>
  <si>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</si>
  <si>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</si>
  <si>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</si>
  <si>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</si>
  <si>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</si>
  <si>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</si>
  <si>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</si>
  <si>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</si>
  <si>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</si>
  <si>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</si>
  <si>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</si>
  <si>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</si>
  <si>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</si>
  <si>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</si>
  <si>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</si>
  <si>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</si>
  <si>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</si>
  <si>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</si>
  <si>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</si>
  <si>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</si>
  <si>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</si>
  <si>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</si>
  <si>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</si>
  <si>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</si>
  <si>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</si>
  <si>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</si>
  <si>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</si>
  <si>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</si>
  <si>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</si>
  <si>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</si>
  <si>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</si>
  <si>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</si>
  <si>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</si>
  <si>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</si>
  <si>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</si>
  <si>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</si>
  <si>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</si>
  <si>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</si>
  <si>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</si>
  <si>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</si>
  <si>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</si>
  <si>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</si>
  <si>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</si>
  <si>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</si>
  <si>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</si>
  <si>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</si>
  <si>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</si>
  <si>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</si>
  <si>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</si>
  <si>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</si>
  <si>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</si>
  <si>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</si>
  <si>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</si>
  <si>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</si>
  <si>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</si>
  <si>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</si>
  <si>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</si>
  <si>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</si>
  <si>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</si>
  <si>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</si>
  <si>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</si>
  <si>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</si>
  <si>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</si>
  <si>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</si>
  <si>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</si>
  <si>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</si>
  <si>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</si>
  <si>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</si>
  <si>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</si>
  <si>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</si>
  <si>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</si>
  <si>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</si>
  <si>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</si>
  <si>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</si>
  <si>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</si>
  <si>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</si>
  <si>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</si>
  <si>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</si>
  <si>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</si>
  <si>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</si>
  <si>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</si>
  <si>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</si>
  <si>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</si>
  <si>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</si>
  <si>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</si>
  <si>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</si>
  <si>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</si>
  <si>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</si>
  <si>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</si>
  <si>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</si>
  <si>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</si>
  <si>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</si>
  <si>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</si>
  <si>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</si>
  <si>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</si>
  <si>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</si>
  <si>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</si>
  <si>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</si>
  <si>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</si>
  <si>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</si>
  <si>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</si>
  <si>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</si>
  <si>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</si>
  <si>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</si>
  <si>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</si>
  <si>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</si>
  <si>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</si>
  <si>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</si>
  <si>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</si>
  <si>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</si>
  <si>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</si>
  <si>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</si>
  <si>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</si>
  <si>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</si>
  <si>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</si>
  <si>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</si>
  <si>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</si>
  <si>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</si>
  <si>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</si>
  <si>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</si>
  <si>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</si>
  <si>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</si>
  <si>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</si>
  <si>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</si>
  <si>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</si>
  <si>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</si>
  <si>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</si>
  <si>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</si>
  <si>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</si>
  <si>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</si>
  <si>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</si>
  <si>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</si>
  <si>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</si>
  <si>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</si>
  <si>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</si>
  <si>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</si>
  <si>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</si>
  <si>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</si>
  <si>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</si>
  <si>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</si>
  <si>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</si>
  <si>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</si>
  <si>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</si>
  <si>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</si>
  <si>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</si>
  <si>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</si>
  <si>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</si>
  <si>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</si>
  <si>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</si>
  <si>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</si>
  <si>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</si>
  <si>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</si>
  <si>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</si>
  <si>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</si>
  <si>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</si>
  <si>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</si>
  <si>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</si>
  <si>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</si>
  <si>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</si>
  <si>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</si>
  <si>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</si>
  <si>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</si>
  <si>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</si>
  <si>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</si>
  <si>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</si>
  <si>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</si>
  <si>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</si>
  <si>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</si>
  <si>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</si>
  <si>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</si>
  <si>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</si>
  <si>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</si>
  <si>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</si>
  <si>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</si>
  <si>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</si>
  <si>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</si>
  <si>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</si>
  <si>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</si>
  <si>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</si>
  <si>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</si>
  <si>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</si>
  <si>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</si>
  <si>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</si>
  <si>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</si>
  <si>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</si>
  <si>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</si>
  <si>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</si>
  <si>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</si>
  <si>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</si>
  <si>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</si>
  <si>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</si>
  <si>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</si>
  <si>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</si>
  <si>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</si>
  <si>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</si>
  <si>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</si>
  <si>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</si>
  <si>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</si>
  <si>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</si>
  <si>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</si>
  <si>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</si>
  <si>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</si>
  <si>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</si>
  <si>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</si>
  <si>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</si>
  <si>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</si>
  <si>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</si>
  <si>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</si>
  <si>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</si>
  <si>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</si>
  <si>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</si>
  <si>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</si>
  <si>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</si>
  <si>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</si>
  <si>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</si>
  <si>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</si>
  <si>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</si>
  <si>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</si>
  <si>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</si>
  <si>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</si>
  <si>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</si>
  <si>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</si>
  <si>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</si>
  <si>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</si>
  <si>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</si>
  <si>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</si>
  <si>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</si>
  <si>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</si>
  <si>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</si>
  <si>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</si>
  <si>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</si>
  <si>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</si>
  <si>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</si>
  <si>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</si>
  <si>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</si>
  <si>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</si>
  <si>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</si>
  <si>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</si>
  <si>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</si>
  <si>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</si>
  <si>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</si>
  <si>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</si>
  <si>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</si>
  <si>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</si>
  <si>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</si>
  <si>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</si>
  <si>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</si>
  <si>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</si>
  <si>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</si>
  <si>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</si>
  <si>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</si>
  <si>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</si>
  <si>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</si>
  <si>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</si>
  <si>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</si>
  <si>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</si>
  <si>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</si>
  <si>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</si>
  <si>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</si>
  <si>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</si>
  <si>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</si>
  <si>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</si>
  <si>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</si>
  <si>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</si>
  <si>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</si>
  <si>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</si>
  <si>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</si>
  <si>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</si>
  <si>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</si>
  <si>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</si>
  <si>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</si>
  <si>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</si>
  <si>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</si>
  <si>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</si>
  <si>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</si>
  <si>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</si>
  <si>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</si>
  <si>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</si>
  <si>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</si>
  <si>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</si>
  <si>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</si>
  <si>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</si>
  <si>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</si>
  <si>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</si>
  <si>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</si>
  <si>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</si>
  <si>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</si>
  <si>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</si>
  <si>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</si>
  <si>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</si>
  <si>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</si>
  <si>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</si>
  <si>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</si>
  <si>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</si>
  <si>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</si>
  <si>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</si>
  <si>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</si>
  <si>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</si>
  <si>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</si>
  <si>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</si>
  <si>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</si>
  <si>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</si>
  <si>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</si>
  <si>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</si>
  <si>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</si>
  <si>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</si>
  <si>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</si>
  <si>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</si>
  <si>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</si>
  <si>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</si>
  <si>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</si>
  <si>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</si>
  <si>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</si>
  <si>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</si>
  <si>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</si>
  <si>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</si>
  <si>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</si>
  <si>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</si>
  <si>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</si>
  <si>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</si>
  <si>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</si>
  <si>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</si>
  <si>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</si>
  <si>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</si>
  <si>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</si>
  <si>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</si>
  <si>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</si>
  <si>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</si>
  <si>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</si>
  <si>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</si>
  <si>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</si>
  <si>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</si>
  <si>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</si>
  <si>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</si>
  <si>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</si>
  <si>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</si>
  <si>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</si>
  <si>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</si>
  <si>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</si>
  <si>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</si>
  <si>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</si>
  <si>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</si>
  <si>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</si>
  <si>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</si>
  <si>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</si>
  <si>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</si>
  <si>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</si>
  <si>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</si>
  <si>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</si>
  <si>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</si>
  <si>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</si>
  <si>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</si>
  <si>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</si>
  <si>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</si>
  <si>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</si>
  <si>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</si>
  <si>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</si>
  <si>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</si>
  <si>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</si>
  <si>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</si>
  <si>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</si>
  <si>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</si>
  <si>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</si>
  <si>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</si>
  <si>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</si>
  <si>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</si>
  <si>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</si>
  <si>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</si>
  <si>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</si>
  <si>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</si>
  <si>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</si>
  <si>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</si>
  <si>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</si>
  <si>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</si>
  <si>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</si>
  <si>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</si>
  <si>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</si>
  <si>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</si>
  <si>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</si>
  <si>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</si>
  <si>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</si>
  <si>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</si>
  <si>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</si>
  <si>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</si>
  <si>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</si>
  <si>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</si>
  <si>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</si>
  <si>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</si>
  <si>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</si>
  <si>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</si>
  <si>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</si>
  <si>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</si>
  <si>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</si>
  <si>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</si>
  <si>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</si>
  <si>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</si>
  <si>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</si>
  <si>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</si>
  <si>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</si>
  <si>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</si>
  <si>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</si>
  <si>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</si>
  <si>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</si>
  <si>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</si>
  <si>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</si>
  <si>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</si>
  <si>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</si>
  <si>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</si>
  <si>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</si>
  <si>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</si>
  <si>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</si>
  <si>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</si>
  <si>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</si>
  <si>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</si>
  <si>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</si>
  <si>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</si>
  <si>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</si>
  <si>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</si>
  <si>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</si>
  <si>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</si>
  <si>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</si>
  <si>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</si>
  <si>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</si>
  <si>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</si>
  <si>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</si>
  <si>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</si>
  <si>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</si>
  <si>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</si>
  <si>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</si>
  <si>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</si>
  <si>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</si>
  <si>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</si>
  <si>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</si>
  <si>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</si>
  <si>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</si>
  <si>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</si>
  <si>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</si>
  <si>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</si>
  <si>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</si>
  <si>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</si>
  <si>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</si>
  <si>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</si>
  <si>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</si>
  <si>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</si>
  <si>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</si>
  <si>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</si>
  <si>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</si>
  <si>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</si>
  <si>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</si>
  <si>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</si>
  <si>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</si>
  <si>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</si>
  <si>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</si>
  <si>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</si>
  <si>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</si>
  <si>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</si>
  <si>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</si>
  <si>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</si>
  <si>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</si>
  <si>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</si>
  <si>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</si>
  <si>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</si>
  <si>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</si>
  <si>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</si>
  <si>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</si>
  <si>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</si>
  <si>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</si>
  <si>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</si>
  <si>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</si>
  <si>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</si>
  <si>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</si>
  <si>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</si>
  <si>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</si>
  <si>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</si>
  <si>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</si>
  <si>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</si>
  <si>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</si>
  <si>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</si>
  <si>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</si>
  <si>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</si>
  <si>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</si>
  <si>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</si>
  <si>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</si>
  <si>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</si>
  <si>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</si>
  <si>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</si>
  <si>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</si>
  <si>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</si>
  <si>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</si>
  <si>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</si>
  <si>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</si>
  <si>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</si>
  <si>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</si>
  <si>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</si>
  <si>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</si>
  <si>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</si>
  <si>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</si>
  <si>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</si>
  <si>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</si>
  <si>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</si>
  <si>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</si>
  <si>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</si>
  <si>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</si>
  <si>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</si>
  <si>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</si>
  <si>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</si>
  <si>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</si>
  <si>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</si>
  <si>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</si>
  <si>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</si>
  <si>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</si>
  <si>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</si>
  <si>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</si>
  <si>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</si>
  <si>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</si>
  <si>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</si>
  <si>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</si>
  <si>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</si>
  <si>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</si>
  <si>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</si>
  <si>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</si>
  <si>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</si>
  <si>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</si>
  <si>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</si>
  <si>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</si>
  <si>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</si>
  <si>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</si>
  <si>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</si>
  <si>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</si>
  <si>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</si>
  <si>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</si>
  <si>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</si>
  <si>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</si>
  <si>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</si>
  <si>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</si>
  <si>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</si>
  <si>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</si>
  <si>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</si>
  <si>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</si>
  <si>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</si>
  <si>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</si>
  <si>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</si>
  <si>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</si>
  <si>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</si>
  <si>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</si>
  <si>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</si>
  <si>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</si>
  <si>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</si>
  <si>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</si>
  <si>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</si>
  <si>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</si>
  <si>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</si>
  <si>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</si>
  <si>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</si>
  <si>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</si>
  <si>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</si>
  <si>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</si>
  <si>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</si>
  <si>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</si>
  <si>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</si>
  <si>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</si>
  <si>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</si>
  <si>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</si>
  <si>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</si>
  <si>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</si>
  <si>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</si>
  <si>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</si>
  <si>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</si>
  <si>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</si>
  <si>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</si>
  <si>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</si>
  <si>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</si>
  <si>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</si>
  <si>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</si>
  <si>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</si>
  <si>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</si>
  <si>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</si>
  <si>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</si>
  <si>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</si>
  <si>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</si>
  <si>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</si>
  <si>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</si>
  <si>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</si>
  <si>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</si>
  <si>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</si>
  <si>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</si>
  <si>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</si>
  <si>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</si>
  <si>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</si>
  <si>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</si>
  <si>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</si>
  <si>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</si>
  <si>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</si>
  <si>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</si>
  <si>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</si>
  <si>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</si>
  <si>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</si>
  <si>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</si>
  <si>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</si>
  <si>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</si>
  <si>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</si>
  <si>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</si>
  <si>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</si>
  <si>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</si>
  <si>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</si>
  <si>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</si>
  <si>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</si>
  <si>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</si>
  <si>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</si>
  <si>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</si>
  <si>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</si>
  <si>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</si>
  <si>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</si>
  <si>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</si>
  <si>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</si>
  <si>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</si>
  <si>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</si>
  <si>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</si>
  <si>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</si>
  <si>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</si>
  <si>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</si>
  <si>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</si>
  <si>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</si>
  <si>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</si>
  <si>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</si>
  <si>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</si>
  <si>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</si>
  <si>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</si>
  <si>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</si>
  <si>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</si>
  <si>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</si>
  <si>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</si>
  <si>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</si>
  <si>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</si>
  <si>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</si>
  <si>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</si>
  <si>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</si>
  <si>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</si>
  <si>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</si>
  <si>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</si>
  <si>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</si>
  <si>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</si>
  <si>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</si>
  <si>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</si>
  <si>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</si>
  <si>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</si>
  <si>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</si>
  <si>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</si>
  <si>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</si>
  <si>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</si>
  <si>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</si>
  <si>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</si>
  <si>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</si>
  <si>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</si>
  <si>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</si>
  <si>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</si>
  <si>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</si>
  <si>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</si>
  <si>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</si>
  <si>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</si>
  <si>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</si>
  <si>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</si>
  <si>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</si>
  <si>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</si>
  <si>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</si>
  <si>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</si>
  <si>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</si>
  <si>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</si>
  <si>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</si>
  <si>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</si>
  <si>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</si>
  <si>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</si>
  <si>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</si>
  <si>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</si>
  <si>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</si>
  <si>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</si>
  <si>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</si>
  <si>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</si>
  <si>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</si>
  <si>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</si>
  <si>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</si>
  <si>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</si>
  <si>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</si>
  <si>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</si>
  <si>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</si>
  <si>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</si>
  <si>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</si>
  <si>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</si>
  <si>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</si>
  <si>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</si>
  <si>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</si>
  <si>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</si>
  <si>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</si>
  <si>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</si>
  <si>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</si>
  <si>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</si>
  <si>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</si>
  <si>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</si>
  <si>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</si>
  <si>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</si>
  <si>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</si>
  <si>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</si>
  <si>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</si>
  <si>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</si>
  <si>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</si>
  <si>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</si>
  <si>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</si>
  <si>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</si>
  <si>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</si>
  <si>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</si>
  <si>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</si>
  <si>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</si>
  <si>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</si>
  <si>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</si>
  <si>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</si>
  <si>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</si>
  <si>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</si>
  <si>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</si>
  <si>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</si>
  <si>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</si>
  <si>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</si>
  <si>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</si>
  <si>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</si>
  <si>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</si>
  <si>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</si>
  <si>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</si>
  <si>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</si>
  <si>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</si>
  <si>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</si>
  <si>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</si>
  <si>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</si>
  <si>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</si>
  <si>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</si>
  <si>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</si>
  <si>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</si>
  <si>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</si>
  <si>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</si>
  <si>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</si>
  <si>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</si>
  <si>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</si>
  <si>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</si>
  <si>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</si>
  <si>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</si>
  <si>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</si>
  <si>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</si>
  <si>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</si>
  <si>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</si>
  <si>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</si>
  <si>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</si>
  <si>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</si>
  <si>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</si>
  <si>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</si>
  <si>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</si>
  <si>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</si>
  <si>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</si>
  <si>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</si>
  <si>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</si>
  <si>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</si>
  <si>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</si>
  <si>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</si>
  <si>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</si>
  <si>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</si>
  <si>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</si>
  <si>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</si>
  <si>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</si>
  <si>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</si>
  <si>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</si>
  <si>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</si>
  <si>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</si>
  <si>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</si>
  <si>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</si>
  <si>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</si>
  <si>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</si>
  <si>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</si>
  <si>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</si>
  <si>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</si>
  <si>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</si>
  <si>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</si>
  <si>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</si>
  <si>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</si>
  <si>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</si>
  <si>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</si>
  <si>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</si>
  <si>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</si>
  <si>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</si>
  <si>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</si>
  <si>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</si>
  <si>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</si>
  <si>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</si>
  <si>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</si>
  <si>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</si>
  <si>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</si>
  <si>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</si>
  <si>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</si>
  <si>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</si>
  <si>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</si>
  <si>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</si>
  <si>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</si>
  <si>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</si>
  <si>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</si>
  <si>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</si>
  <si>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</si>
  <si>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</si>
  <si>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</si>
  <si>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</si>
  <si>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</si>
  <si>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</si>
  <si>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</si>
  <si>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</si>
  <si>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</si>
  <si>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</si>
  <si>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</si>
  <si>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</si>
  <si>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</si>
  <si>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</si>
  <si>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</si>
  <si>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</si>
  <si>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</si>
  <si>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</si>
  <si>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</si>
  <si>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</si>
  <si>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</si>
  <si>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</si>
  <si>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</si>
  <si>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</si>
  <si>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</si>
  <si>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</si>
  <si>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</si>
  <si>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</si>
  <si>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</si>
  <si>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</si>
  <si>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</si>
  <si>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</si>
  <si>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</si>
  <si>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</si>
  <si>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</si>
  <si>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</si>
  <si>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</si>
  <si>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</si>
  <si>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</si>
  <si>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</si>
  <si>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</si>
  <si>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</si>
  <si>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</si>
  <si>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</si>
  <si>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</si>
  <si>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</si>
  <si>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</si>
  <si>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</si>
  <si>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</si>
  <si>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</si>
  <si>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</si>
  <si>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</si>
  <si>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</si>
  <si>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</si>
  <si>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</si>
  <si>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</si>
  <si>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</si>
  <si>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</si>
  <si>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</si>
  <si>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</si>
  <si>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</si>
  <si>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</si>
  <si>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</si>
  <si>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</si>
  <si>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</si>
  <si>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</si>
  <si>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</si>
  <si>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</si>
  <si>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</si>
  <si>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</si>
  <si>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</si>
  <si>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</si>
  <si>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</si>
  <si>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</si>
  <si>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</si>
  <si>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</si>
  <si>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</si>
  <si>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</si>
  <si>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</si>
  <si>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</si>
  <si>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</si>
  <si>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</si>
  <si>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</si>
  <si>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</si>
  <si>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</si>
  <si>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</si>
  <si>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</si>
  <si>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</si>
  <si>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</si>
  <si>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</si>
  <si>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</si>
  <si>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</si>
  <si>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</si>
  <si>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</si>
  <si>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</si>
  <si>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</si>
  <si>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</si>
  <si>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</si>
  <si>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</si>
  <si>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</si>
  <si>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</si>
  <si>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</si>
  <si>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</si>
  <si>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</si>
  <si>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</si>
  <si>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</si>
  <si>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</si>
  <si>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</si>
  <si>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</si>
  <si>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</si>
  <si>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</si>
  <si>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</si>
  <si>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</si>
  <si>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</si>
  <si>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</si>
  <si>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</si>
  <si>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</si>
  <si>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</si>
  <si>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</si>
  <si>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</si>
  <si>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</si>
  <si>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</si>
  <si>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</si>
  <si>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</si>
  <si>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</si>
  <si>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</si>
  <si>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</si>
  <si>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</si>
  <si>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</si>
  <si>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</si>
  <si>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</si>
  <si>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</si>
  <si>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</si>
  <si>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</si>
  <si>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</si>
  <si>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</si>
  <si>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</si>
  <si>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</si>
  <si>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</si>
  <si>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</si>
  <si>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</si>
  <si>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</si>
  <si>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</si>
  <si>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</si>
  <si>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</si>
  <si>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</si>
  <si>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</si>
  <si>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</si>
  <si>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</si>
  <si>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</si>
  <si>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</si>
  <si>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</si>
  <si>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</si>
  <si>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</si>
  <si>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</si>
  <si>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</si>
  <si>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</si>
  <si>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</si>
  <si>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</si>
  <si>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</si>
  <si>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</si>
  <si>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</si>
  <si>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</si>
  <si>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</si>
  <si>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</si>
  <si>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</si>
  <si>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</si>
  <si>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</si>
  <si>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</si>
  <si>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</si>
  <si>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</si>
  <si>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</si>
  <si>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</si>
  <si>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</si>
  <si>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</si>
  <si>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</si>
  <si>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</si>
  <si>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</si>
  <si>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</si>
  <si>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</si>
  <si>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</si>
  <si>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</si>
  <si>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</si>
  <si>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</si>
  <si>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</si>
  <si>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</si>
  <si>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</si>
  <si>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</si>
  <si>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</si>
  <si>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</si>
  <si>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</si>
  <si>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</si>
  <si>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</si>
  <si>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</si>
  <si>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</si>
  <si>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</si>
  <si>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</si>
  <si>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</si>
  <si>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</si>
  <si>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</si>
  <si>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</si>
  <si>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</si>
  <si>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</si>
  <si>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</si>
  <si>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</si>
  <si>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</si>
  <si>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</si>
  <si>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</si>
  <si>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</si>
  <si>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</si>
  <si>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</si>
  <si>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</si>
  <si>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</si>
  <si>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</si>
  <si>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</si>
  <si>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</si>
  <si>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</si>
  <si>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</si>
  <si>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</si>
  <si>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</si>
  <si>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</si>
  <si>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</si>
  <si>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</si>
  <si>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</si>
  <si>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</si>
  <si>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</si>
  <si>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</si>
  <si>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</si>
  <si>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</si>
  <si>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</si>
  <si>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</si>
  <si>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</si>
  <si>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</si>
  <si>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</si>
  <si>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</si>
  <si>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</si>
  <si>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</si>
  <si>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</si>
  <si>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</si>
  <si>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</si>
  <si>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</si>
  <si>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</si>
  <si>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</si>
  <si>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</si>
  <si>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</si>
  <si>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</si>
  <si>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</si>
  <si>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</si>
  <si>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</si>
  <si>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</si>
  <si>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</si>
  <si>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</si>
  <si>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</si>
  <si>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</si>
  <si>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</si>
  <si>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</si>
  <si>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</si>
  <si>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</si>
  <si>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</si>
  <si>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</si>
  <si>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</si>
  <si>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</si>
  <si>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</si>
  <si>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</si>
  <si>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</si>
  <si>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</si>
  <si>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</si>
  <si>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</si>
  <si>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</si>
  <si>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</si>
  <si>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</si>
  <si>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</si>
  <si>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</si>
  <si>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</si>
  <si>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</si>
  <si>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</si>
  <si>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</si>
  <si>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</si>
  <si>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</si>
  <si>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</si>
  <si>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</si>
  <si>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</si>
  <si>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</si>
  <si>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</si>
  <si>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</si>
  <si>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</si>
  <si>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</si>
  <si>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</si>
  <si>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</si>
  <si>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</si>
  <si>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</si>
  <si>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</si>
  <si>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</si>
  <si>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</si>
  <si>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</si>
  <si>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</si>
  <si>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</si>
  <si>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</si>
  <si>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王鹏</t>
  </si>
  <si>
    <t>郑燚</t>
  </si>
  <si>
    <t>中信信托有限责任公司</t>
    <phoneticPr fontId="7" type="noConversion"/>
  </si>
  <si>
    <t>一致</t>
  </si>
  <si>
    <t>符合</t>
  </si>
  <si>
    <t>其他：</t>
  </si>
  <si>
    <t>企业</t>
  </si>
  <si>
    <t>抵押价格</t>
  </si>
  <si>
    <t>抵押</t>
  </si>
  <si>
    <t>估价对象</t>
    <phoneticPr fontId="277" type="noConversion"/>
  </si>
  <si>
    <t>序号</t>
    <phoneticPr fontId="277" type="noConversion"/>
  </si>
  <si>
    <t>地块</t>
    <phoneticPr fontId="277" type="noConversion"/>
  </si>
  <si>
    <t>证号</t>
    <phoneticPr fontId="277" type="noConversion"/>
  </si>
  <si>
    <t>房地产权利人</t>
    <phoneticPr fontId="277" type="noConversion"/>
  </si>
  <si>
    <t>房地坐落</t>
    <phoneticPr fontId="229" type="noConversion"/>
  </si>
  <si>
    <t>土地宗数</t>
    <phoneticPr fontId="229" type="noConversion"/>
  </si>
  <si>
    <t>地号</t>
    <phoneticPr fontId="277" type="noConversion"/>
  </si>
  <si>
    <t>用途</t>
    <phoneticPr fontId="277" type="noConversion"/>
  </si>
  <si>
    <t>使用权终止日期</t>
    <phoneticPr fontId="277" type="noConversion"/>
  </si>
  <si>
    <t>土地面积（平方米）</t>
    <phoneticPr fontId="277" type="noConversion"/>
  </si>
  <si>
    <t>发证日期</t>
    <phoneticPr fontId="229" type="noConversion"/>
  </si>
  <si>
    <t>图号</t>
    <phoneticPr fontId="229" type="noConversion"/>
  </si>
  <si>
    <t>东至</t>
    <phoneticPr fontId="229" type="noConversion"/>
  </si>
  <si>
    <t>南至</t>
    <phoneticPr fontId="229" type="noConversion"/>
  </si>
  <si>
    <t>西至</t>
    <phoneticPr fontId="229" type="noConversion"/>
  </si>
  <si>
    <t>北至</t>
    <phoneticPr fontId="229" type="noConversion"/>
  </si>
  <si>
    <t>出让合同编号</t>
    <phoneticPr fontId="229" type="noConversion"/>
  </si>
  <si>
    <t>出让合同宗地编号</t>
    <phoneticPr fontId="229" type="noConversion"/>
  </si>
  <si>
    <t>出让日期</t>
    <phoneticPr fontId="229" type="noConversion"/>
  </si>
  <si>
    <t>土地出让金（元）</t>
    <phoneticPr fontId="277" type="noConversion"/>
  </si>
  <si>
    <t>出让地面单价（元/平方米）</t>
    <phoneticPr fontId="229" type="noConversion"/>
  </si>
  <si>
    <t>补偿金（万元）</t>
    <phoneticPr fontId="277" type="noConversion"/>
  </si>
  <si>
    <t>地面单价（含补偿金）（元/平方米）</t>
    <phoneticPr fontId="229" type="noConversion"/>
  </si>
  <si>
    <t>容积率</t>
    <phoneticPr fontId="277" type="noConversion"/>
  </si>
  <si>
    <t>建筑密度</t>
    <phoneticPr fontId="277" type="noConversion"/>
  </si>
  <si>
    <t>商业占地面积</t>
    <phoneticPr fontId="277" type="noConversion"/>
  </si>
  <si>
    <t>依据</t>
    <phoneticPr fontId="277" type="noConversion"/>
  </si>
  <si>
    <t>规划建筑面积（平方米）</t>
    <phoneticPr fontId="229" type="noConversion"/>
  </si>
  <si>
    <t>合计</t>
    <phoneticPr fontId="229" type="noConversion"/>
  </si>
  <si>
    <t>住宅</t>
    <phoneticPr fontId="229" type="noConversion"/>
  </si>
  <si>
    <t>商业</t>
    <phoneticPr fontId="229" type="noConversion"/>
  </si>
  <si>
    <t>A1</t>
    <phoneticPr fontId="277" type="noConversion"/>
  </si>
  <si>
    <t>权证字号：青房地权市字第2013148027号</t>
    <phoneticPr fontId="277" type="noConversion"/>
  </si>
  <si>
    <t>青岛金港蓝湾商业发展有限公司</t>
    <phoneticPr fontId="277" type="noConversion"/>
  </si>
  <si>
    <t>即墨市田横度假区滨海公路2888号附1</t>
    <phoneticPr fontId="229" type="noConversion"/>
  </si>
  <si>
    <t>1宗</t>
    <phoneticPr fontId="229" type="noConversion"/>
  </si>
  <si>
    <t>商业服务业设施</t>
    <phoneticPr fontId="277" type="noConversion"/>
  </si>
  <si>
    <t>J9-6-945</t>
    <phoneticPr fontId="229" type="noConversion"/>
  </si>
  <si>
    <t>青岛金港蓝湾商业发展有限公司</t>
    <phoneticPr fontId="229" type="noConversion"/>
  </si>
  <si>
    <t>青岛怡和万胜置业有限公司</t>
    <phoneticPr fontId="229" type="noConversion"/>
  </si>
  <si>
    <t>沟里村土地</t>
    <phoneticPr fontId="229" type="noConversion"/>
  </si>
  <si>
    <t>青岛美域星海置业有限公司</t>
    <phoneticPr fontId="229" type="noConversion"/>
  </si>
  <si>
    <t>电子监管号：3702822013B01529</t>
    <phoneticPr fontId="229" type="noConversion"/>
  </si>
  <si>
    <t>小于等于1.2</t>
    <phoneticPr fontId="277" type="noConversion"/>
  </si>
  <si>
    <t>小于等于50%</t>
    <phoneticPr fontId="277" type="noConversion"/>
  </si>
  <si>
    <t>建设用地规划条件通知书[即规规条字[2013]J0206008号]</t>
    <phoneticPr fontId="277" type="noConversion"/>
  </si>
  <si>
    <t>权证字号：青房地权市字第2013147673号</t>
    <phoneticPr fontId="277" type="noConversion"/>
  </si>
  <si>
    <t>青岛金港蓝湾商业发展有限公司</t>
    <phoneticPr fontId="277" type="noConversion"/>
  </si>
  <si>
    <t>即墨市田横度假区滨海公路2888号附2</t>
  </si>
  <si>
    <t>1宗</t>
    <phoneticPr fontId="229" type="noConversion"/>
  </si>
  <si>
    <t>商业服务业设施</t>
    <phoneticPr fontId="277" type="noConversion"/>
  </si>
  <si>
    <t>J9-6-946</t>
  </si>
  <si>
    <t>青岛金港蓝湾商业发展有限公司</t>
    <phoneticPr fontId="229" type="noConversion"/>
  </si>
  <si>
    <t>青岛怡和万胜置业有限公司</t>
    <phoneticPr fontId="229" type="noConversion"/>
  </si>
  <si>
    <t>青岛美域星海置业有限公司</t>
    <phoneticPr fontId="229" type="noConversion"/>
  </si>
  <si>
    <t>电子监管号：3702822013B01834</t>
    <phoneticPr fontId="229" type="noConversion"/>
  </si>
  <si>
    <t>权证字号：青房地权市字第2013147688号</t>
    <phoneticPr fontId="277" type="noConversion"/>
  </si>
  <si>
    <t>即墨市田横度假区滨海公路2888号附3</t>
  </si>
  <si>
    <t>J9-6-947</t>
  </si>
  <si>
    <t>电子监管号：3702822013B01715</t>
    <phoneticPr fontId="229" type="noConversion"/>
  </si>
  <si>
    <t>即房地权市字第201513080号</t>
    <phoneticPr fontId="277" type="noConversion"/>
  </si>
  <si>
    <t>即墨市田横度假区滨海公路2888号附5</t>
    <phoneticPr fontId="229" type="noConversion"/>
  </si>
  <si>
    <t>批发零售、住宿餐饮、商务金融、其他商服</t>
    <phoneticPr fontId="277" type="noConversion"/>
  </si>
  <si>
    <t>——</t>
    <phoneticPr fontId="229" type="noConversion"/>
  </si>
  <si>
    <t>J9-6-948</t>
    <phoneticPr fontId="229" type="noConversion"/>
  </si>
  <si>
    <t>黄海滩涂</t>
    <phoneticPr fontId="229" type="noConversion"/>
  </si>
  <si>
    <t>青岛金港蓝湾商业发展有限公司、青岛美域星海置业有限公司</t>
    <phoneticPr fontId="229" type="noConversion"/>
  </si>
  <si>
    <t>电子监管号：3702822013B01858</t>
    <phoneticPr fontId="229" type="noConversion"/>
  </si>
  <si>
    <t>小计</t>
    <phoneticPr fontId="229" type="noConversion"/>
  </si>
  <si>
    <t>B1</t>
    <phoneticPr fontId="277" type="noConversion"/>
  </si>
  <si>
    <t>即房地权市字第2014141722号</t>
    <phoneticPr fontId="277" type="noConversion"/>
  </si>
  <si>
    <t>青岛美域星海置业有限公司</t>
    <phoneticPr fontId="277" type="noConversion"/>
  </si>
  <si>
    <t>即墨市田横度假区滨海公路2888号附6</t>
    <phoneticPr fontId="229" type="noConversion"/>
  </si>
  <si>
    <t>住宅、批发零售、住宿餐饮、商务金融、其他商服</t>
    <phoneticPr fontId="277" type="noConversion"/>
  </si>
  <si>
    <t>住宅2083-9-23、商业服务业设施2053-9-23</t>
    <phoneticPr fontId="277" type="noConversion"/>
  </si>
  <si>
    <t>J9-6-999</t>
    <phoneticPr fontId="229" type="noConversion"/>
  </si>
  <si>
    <t>东辛庄村土地</t>
    <phoneticPr fontId="229" type="noConversion"/>
  </si>
  <si>
    <t>电子监管号：3702822013B01553</t>
    <phoneticPr fontId="229" type="noConversion"/>
  </si>
  <si>
    <t>J9-6-949</t>
    <phoneticPr fontId="229" type="noConversion"/>
  </si>
  <si>
    <t>小于等于1.2（居住用地不小于1.0）</t>
    <phoneticPr fontId="277" type="noConversion"/>
  </si>
  <si>
    <t>小于等于30%</t>
    <phoneticPr fontId="277" type="noConversion"/>
  </si>
  <si>
    <t>不小于50%</t>
    <phoneticPr fontId="277" type="noConversion"/>
  </si>
  <si>
    <t>建设用地规划条件通知书[即规规条字[2013]J0206008号]</t>
    <phoneticPr fontId="277" type="noConversion"/>
  </si>
  <si>
    <t>B2</t>
    <phoneticPr fontId="277" type="noConversion"/>
  </si>
  <si>
    <t>即房地权市字第2014141575号</t>
    <phoneticPr fontId="277" type="noConversion"/>
  </si>
  <si>
    <t>即墨市田横度假区滨海公路2888号附7</t>
  </si>
  <si>
    <t>J9-6-950</t>
    <phoneticPr fontId="229" type="noConversion"/>
  </si>
  <si>
    <t>电子监管号：3702822013B01755</t>
    <phoneticPr fontId="229" type="noConversion"/>
  </si>
  <si>
    <t>J9-6-950</t>
  </si>
  <si>
    <t>B3</t>
    <phoneticPr fontId="277" type="noConversion"/>
  </si>
  <si>
    <t>即房地权市字第2014141573号</t>
    <phoneticPr fontId="277" type="noConversion"/>
  </si>
  <si>
    <t>青岛美域星海置业有限公司</t>
    <phoneticPr fontId="277" type="noConversion"/>
  </si>
  <si>
    <t>即墨市田横度假区滨海公路2888号附8</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</si>
  <si>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</si>
  <si>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</si>
  <si>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</si>
  <si>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</si>
  <si>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J9-6-951</t>
    <phoneticPr fontId="229" type="noConversion"/>
  </si>
  <si>
    <t>黄海滩涂</t>
    <phoneticPr fontId="229" type="noConversion"/>
  </si>
  <si>
    <t>青岛金港蓝湾商业发展有限公司</t>
    <phoneticPr fontId="229" type="noConversion"/>
  </si>
  <si>
    <t>青岛美域星海置业有限公司</t>
    <phoneticPr fontId="229" type="noConversion"/>
  </si>
  <si>
    <t>电子监管号：3702822013B01622</t>
    <phoneticPr fontId="229" type="noConversion"/>
  </si>
  <si>
    <t>小计</t>
    <phoneticPr fontId="229" type="noConversion"/>
  </si>
  <si>
    <t>C1</t>
    <phoneticPr fontId="277" type="noConversion"/>
  </si>
  <si>
    <t>即房地权市字第201532847号</t>
    <phoneticPr fontId="277" type="noConversion"/>
  </si>
  <si>
    <t>青岛怡和万盛置业有限公司</t>
    <phoneticPr fontId="277" type="noConversion"/>
  </si>
  <si>
    <t>即墨市田横度假区滨海公路2888号附9</t>
    <phoneticPr fontId="229" type="noConversion"/>
  </si>
  <si>
    <t>J9-6-952</t>
    <phoneticPr fontId="229" type="noConversion"/>
  </si>
  <si>
    <t>青岛怡和万胜置业有限公司</t>
    <phoneticPr fontId="229" type="noConversion"/>
  </si>
  <si>
    <t>电子监管号：3702822013B01637</t>
    <phoneticPr fontId="229" type="noConversion"/>
  </si>
  <si>
    <t>小于等于1.5（居住用地不小于1.0）</t>
    <phoneticPr fontId="277" type="noConversion"/>
  </si>
  <si>
    <t>小于等于30%</t>
    <phoneticPr fontId="277" type="noConversion"/>
  </si>
  <si>
    <t>建设用地规划条件通知书[即规规条字[2013]J0206008号]</t>
    <phoneticPr fontId="277" type="noConversion"/>
  </si>
  <si>
    <t>C2</t>
    <phoneticPr fontId="277" type="noConversion"/>
  </si>
  <si>
    <t>即房地权市字第201513056号</t>
    <phoneticPr fontId="277" type="noConversion"/>
  </si>
  <si>
    <t>即墨市田横度假区滨海公路2888号附10</t>
  </si>
  <si>
    <t>J9-6-953</t>
  </si>
  <si>
    <t>电子监管号：3702822013B01707</t>
    <phoneticPr fontId="229" type="noConversion"/>
  </si>
  <si>
    <t>C3</t>
  </si>
  <si>
    <t>即房地权市字第201532796号</t>
    <phoneticPr fontId="277" type="noConversion"/>
  </si>
  <si>
    <t>即墨市田横度假区滨海公路2888号附11</t>
    <phoneticPr fontId="229" type="noConversion"/>
  </si>
  <si>
    <t>J9-6-954</t>
    <phoneticPr fontId="229" type="noConversion"/>
  </si>
  <si>
    <t>东陆戈庄村土地</t>
    <phoneticPr fontId="229" type="noConversion"/>
  </si>
  <si>
    <t>电子监管号：3702822013B01657</t>
    <phoneticPr fontId="229" type="noConversion"/>
  </si>
  <si>
    <t>D1</t>
    <phoneticPr fontId="277" type="noConversion"/>
  </si>
  <si>
    <t>权证字号：青房地权市字第2013150678号</t>
    <phoneticPr fontId="277" type="noConversion"/>
  </si>
  <si>
    <t>即墨市田横度假区滨海公路2888号附12</t>
    <phoneticPr fontId="229" type="noConversion"/>
  </si>
  <si>
    <t>住宅、商业服务业设施</t>
    <phoneticPr fontId="277" type="noConversion"/>
  </si>
  <si>
    <t>J9-6-955</t>
  </si>
  <si>
    <t>沟里村土地</t>
    <phoneticPr fontId="229" type="noConversion"/>
  </si>
  <si>
    <t>沟里村土地、东辛庄村土地</t>
    <phoneticPr fontId="229" type="noConversion"/>
  </si>
  <si>
    <t>电子监管号：3702822013B01686</t>
    <phoneticPr fontId="229" type="noConversion"/>
  </si>
  <si>
    <t>J9-6-955</t>
    <phoneticPr fontId="229" type="noConversion"/>
  </si>
  <si>
    <t>小于等于1.8（居住用地不小于1.0）</t>
    <phoneticPr fontId="277" type="noConversion"/>
  </si>
  <si>
    <t>D2</t>
  </si>
  <si>
    <t>即房地权市字第2014141576号</t>
    <phoneticPr fontId="277" type="noConversion"/>
  </si>
  <si>
    <t>即墨市田横度假区滨海公路2888号附13</t>
    <phoneticPr fontId="229" type="noConversion"/>
  </si>
  <si>
    <t>J9-6-956</t>
  </si>
  <si>
    <t>青岛美域星海置业有限公司、青岛金港蓝湾商业发展有限公司</t>
    <phoneticPr fontId="229" type="noConversion"/>
  </si>
  <si>
    <t>东辛庄村土地</t>
    <phoneticPr fontId="229" type="noConversion"/>
  </si>
  <si>
    <t>电子监管号：3702822013B01802</t>
    <phoneticPr fontId="229" type="noConversion"/>
  </si>
  <si>
    <t>J9-6-956</t>
    <phoneticPr fontId="229" type="noConversion"/>
  </si>
  <si>
    <t>D3</t>
  </si>
  <si>
    <t>权证字号：青房地权市字第2013150880号</t>
    <phoneticPr fontId="277" type="noConversion"/>
  </si>
  <si>
    <t>即墨市田横度假区滨海公路2888号附15</t>
    <phoneticPr fontId="229" type="noConversion"/>
  </si>
  <si>
    <t>J9-6-957</t>
  </si>
  <si>
    <t>电子监管号：3702822013B01745</t>
    <phoneticPr fontId="229" type="noConversion"/>
  </si>
  <si>
    <t>D4</t>
  </si>
  <si>
    <t>即房地权市字第2014141574号</t>
    <phoneticPr fontId="277" type="noConversion"/>
  </si>
  <si>
    <t>青岛美域星海置业有限公司</t>
    <phoneticPr fontId="277" type="noConversion"/>
  </si>
  <si>
    <t>即墨市田横度假区滨海公路2888号附16</t>
  </si>
  <si>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</si>
  <si>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</si>
  <si>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</si>
  <si>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</si>
  <si>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J9-6-958</t>
  </si>
  <si>
    <t>青岛美域星海置业有限公司</t>
    <phoneticPr fontId="229" type="noConversion"/>
  </si>
  <si>
    <t>东辛庄村土地</t>
    <phoneticPr fontId="229" type="noConversion"/>
  </si>
  <si>
    <t>电子监管号：3702822013B01815</t>
    <phoneticPr fontId="229" type="noConversion"/>
  </si>
  <si>
    <t>小计</t>
    <phoneticPr fontId="229" type="noConversion"/>
  </si>
  <si>
    <t>D5</t>
  </si>
  <si>
    <t>即房地权市字第201513036号</t>
    <phoneticPr fontId="277" type="noConversion"/>
  </si>
  <si>
    <t>即墨市田横度假区滨海公路2888号附17</t>
  </si>
  <si>
    <t>J9-6-959</t>
  </si>
  <si>
    <t>青岛金港蓝湾商业发展有限公司</t>
    <phoneticPr fontId="229" type="noConversion"/>
  </si>
  <si>
    <t>电子监管号：3702822013B01733</t>
    <phoneticPr fontId="229" type="noConversion"/>
  </si>
  <si>
    <t>小于等于1.2（居住用地不小于1.0）</t>
    <phoneticPr fontId="277" type="noConversion"/>
  </si>
  <si>
    <t>小于等于30%</t>
    <phoneticPr fontId="277" type="noConversion"/>
  </si>
  <si>
    <t>建设用地规划条件通知书[即规规条字[2013]J0206008号]</t>
    <phoneticPr fontId="277" type="noConversion"/>
  </si>
  <si>
    <t>D6</t>
  </si>
  <si>
    <t>即房地权市字第201513025号</t>
    <phoneticPr fontId="277" type="noConversion"/>
  </si>
  <si>
    <t>即墨市田横度假区滨海公路2888号附18</t>
    <phoneticPr fontId="229" type="noConversion"/>
  </si>
  <si>
    <t>J9-6-960</t>
  </si>
  <si>
    <t>电子监管号：3702822013B01825</t>
    <phoneticPr fontId="229" type="noConversion"/>
  </si>
  <si>
    <t>D7</t>
  </si>
  <si>
    <t>即房地权市字第201513072号</t>
    <phoneticPr fontId="277" type="noConversion"/>
  </si>
  <si>
    <t>青岛美域星海置业有限公司</t>
    <phoneticPr fontId="277" type="noConversion"/>
  </si>
  <si>
    <t>即墨市田横度假区滨海公路2888号附19</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</si>
  <si>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</si>
  <si>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</si>
  <si>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</si>
  <si>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</si>
  <si>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J9-6-961</t>
    <phoneticPr fontId="229" type="noConversion"/>
  </si>
  <si>
    <t>青岛美域星海置业有限公司</t>
    <phoneticPr fontId="229" type="noConversion"/>
  </si>
  <si>
    <t>青岛金港蓝湾商业发展有限公司</t>
    <phoneticPr fontId="229" type="noConversion"/>
  </si>
  <si>
    <t>电子监管号：3702822013B01776</t>
    <phoneticPr fontId="229" type="noConversion"/>
  </si>
  <si>
    <t>小计</t>
    <phoneticPr fontId="229" type="noConversion"/>
  </si>
  <si>
    <t>E1</t>
    <phoneticPr fontId="277" type="noConversion"/>
  </si>
  <si>
    <t>权证字号：青房地权市字第2013142812号</t>
    <phoneticPr fontId="277" type="noConversion"/>
  </si>
  <si>
    <t>即墨市田横度假区滨海公路2888号附20</t>
    <phoneticPr fontId="229" type="noConversion"/>
  </si>
  <si>
    <t>J9-6-962</t>
    <phoneticPr fontId="229" type="noConversion"/>
  </si>
  <si>
    <t>电子监管号：3702822013B01694</t>
    <phoneticPr fontId="229" type="noConversion"/>
  </si>
  <si>
    <t>E2</t>
  </si>
  <si>
    <t>权证字号：青房地权市字第2013120048号</t>
    <phoneticPr fontId="277" type="noConversion"/>
  </si>
  <si>
    <t>即墨市田横度假区滨海公路2888号附21</t>
  </si>
  <si>
    <t>J9-6-963</t>
  </si>
  <si>
    <t>沟里村土地、洼里村土地、东陆戈庄村土地</t>
    <phoneticPr fontId="229" type="noConversion"/>
  </si>
  <si>
    <t>电子监管号：3702822013B01596</t>
    <phoneticPr fontId="229" type="noConversion"/>
  </si>
  <si>
    <t>J9-6-963</t>
    <phoneticPr fontId="229" type="noConversion"/>
  </si>
  <si>
    <t>E3</t>
  </si>
  <si>
    <t>权证字号：青房地权市字第2013120106号</t>
    <phoneticPr fontId="277" type="noConversion"/>
  </si>
  <si>
    <t>即墨市田横度假区滨海公路2888号附22</t>
  </si>
  <si>
    <t>J9-6-964</t>
  </si>
  <si>
    <t>电子监管号：3702822013B01575</t>
    <phoneticPr fontId="229" type="noConversion"/>
  </si>
  <si>
    <t>E4</t>
  </si>
  <si>
    <t>权证字号：青房地权市字第2013120114号</t>
    <phoneticPr fontId="277" type="noConversion"/>
  </si>
  <si>
    <t>即墨市田横度假区滨海公路2888号附23</t>
    <phoneticPr fontId="229" type="noConversion"/>
  </si>
  <si>
    <t>J9-6-965</t>
  </si>
  <si>
    <t>电子监管号：3702822013B01588</t>
    <phoneticPr fontId="229" type="noConversion"/>
  </si>
  <si>
    <t>E5</t>
  </si>
  <si>
    <t>权证字号：青房地权市字第2013143019号</t>
    <phoneticPr fontId="277" type="noConversion"/>
  </si>
  <si>
    <t>即墨市田横度假区滨海公路2888号附25</t>
    <phoneticPr fontId="229" type="noConversion"/>
  </si>
  <si>
    <t>J9-6-966</t>
  </si>
  <si>
    <t>电子监管号：3702822013B01675</t>
    <phoneticPr fontId="229" type="noConversion"/>
  </si>
  <si>
    <t>E6</t>
  </si>
  <si>
    <t>权证字号：青房地权市字第2013119995号</t>
    <phoneticPr fontId="277" type="noConversion"/>
  </si>
  <si>
    <t>即墨市田横度假区滨海公路2888号附26</t>
  </si>
  <si>
    <t>J9-6-967</t>
  </si>
  <si>
    <t>电子监管号：3702822013B01606</t>
    <phoneticPr fontId="229" type="noConversion"/>
  </si>
  <si>
    <t>E7</t>
  </si>
  <si>
    <t>权证字号：青房地权市字第2013142771号</t>
    <phoneticPr fontId="277" type="noConversion"/>
  </si>
  <si>
    <t>即墨市田横度假区滨海公路2888号附27</t>
  </si>
  <si>
    <t>住宅2083-9-23、商业2053-9-23</t>
    <phoneticPr fontId="277" type="noConversion"/>
  </si>
  <si>
    <t>J9-6-968</t>
  </si>
  <si>
    <t>电子监管号：3702822013B01765</t>
    <phoneticPr fontId="229" type="noConversion"/>
  </si>
  <si>
    <t>小于等于1.2（居住用地不小于1.0）</t>
    <phoneticPr fontId="277" type="noConversion"/>
  </si>
  <si>
    <t>E8</t>
  </si>
  <si>
    <t>即房地权市字第201532841号</t>
    <phoneticPr fontId="277" type="noConversion"/>
  </si>
  <si>
    <t>即墨市田横度假区滨海公路2888号附28</t>
  </si>
  <si>
    <t>J9-6-969</t>
  </si>
  <si>
    <t>电子监管号：3702822013B01842</t>
    <phoneticPr fontId="229" type="noConversion"/>
  </si>
  <si>
    <t>E9</t>
  </si>
  <si>
    <t>即房地权市字第201513149号</t>
    <phoneticPr fontId="277" type="noConversion"/>
  </si>
  <si>
    <t>即墨市田横度假区滨海公路2888号附29</t>
  </si>
  <si>
    <t>J9-6-970</t>
  </si>
  <si>
    <t>电子监管号：3702822013B01786</t>
    <phoneticPr fontId="229" type="noConversion"/>
  </si>
  <si>
    <t>E10</t>
  </si>
  <si>
    <t>即房地权市字第201532808号</t>
    <phoneticPr fontId="277" type="noConversion"/>
  </si>
  <si>
    <t>即墨市田横度假区滨海公路2888号附30</t>
  </si>
  <si>
    <t>J9-6-971</t>
  </si>
  <si>
    <t>电子监管号：3702822013B01721</t>
    <phoneticPr fontId="229" type="noConversion"/>
  </si>
  <si>
    <t>E11</t>
  </si>
  <si>
    <t>即房地权市字第201513064号</t>
    <phoneticPr fontId="277" type="noConversion"/>
  </si>
  <si>
    <t>即墨市田横度假区滨海公路2888号附31</t>
  </si>
  <si>
    <t>J9-6-972</t>
  </si>
  <si>
    <t>电子监管号：3702822013B01792</t>
    <phoneticPr fontId="229" type="noConversion"/>
  </si>
  <si>
    <t>E12</t>
  </si>
  <si>
    <t>即房地权市字第201513156号</t>
    <phoneticPr fontId="277" type="noConversion"/>
  </si>
  <si>
    <t>即墨市田横度假区滨海公路2888号附32</t>
  </si>
  <si>
    <t>J9-6-973</t>
  </si>
  <si>
    <t>电子监管号：3702822013B01662</t>
    <phoneticPr fontId="229" type="noConversion"/>
  </si>
  <si>
    <t>合计</t>
    <phoneticPr fontId="229" type="noConversion"/>
  </si>
  <si>
    <t>钢混</t>
  </si>
  <si>
    <t>按租金收入计税</t>
  </si>
  <si>
    <t>土地（套用方法）</t>
  </si>
  <si>
    <t>售价</t>
  </si>
  <si>
    <t>商业</t>
  </si>
  <si>
    <t>商业</t>
    <phoneticPr fontId="8" type="noConversion"/>
  </si>
  <si>
    <t>小高层</t>
  </si>
  <si>
    <t>小高层</t>
    <phoneticPr fontId="8" type="noConversion"/>
  </si>
  <si>
    <t>高层</t>
  </si>
  <si>
    <t>高层</t>
    <phoneticPr fontId="8" type="noConversion"/>
  </si>
  <si>
    <t>地上</t>
  </si>
  <si>
    <t>省会市名称</t>
  </si>
  <si>
    <t>建筑型式</t>
  </si>
  <si>
    <t>说明</t>
  </si>
  <si>
    <t>多层</t>
  </si>
  <si>
    <t>济南</t>
  </si>
  <si>
    <t>不动产收益法</t>
  </si>
  <si>
    <t>请录依据文件名称：http://www.jimo.gov.cn/n3201/n3236/n3246/n8471/181227085152245188.html
青岛市即墨区人民政府办公室关于进一步加强城市基础设施配套费征收使用管理的通知 即政办发〔2018〕105号</t>
    <phoneticPr fontId="4" type="noConversion"/>
  </si>
  <si>
    <t>青岛监测指标情况一览表</t>
  </si>
  <si>
    <t>时间</t>
  </si>
  <si>
    <t>水平值</t>
  </si>
  <si>
    <t>环比增长率</t>
  </si>
  <si>
    <t>住宅</t>
    <phoneticPr fontId="229" type="noConversion"/>
  </si>
  <si>
    <t>商服</t>
    <phoneticPr fontId="229" type="noConversion"/>
  </si>
  <si>
    <t>综合</t>
    <phoneticPr fontId="229" type="noConversion"/>
  </si>
  <si>
    <t>比较法-住宅、综合</t>
  </si>
  <si>
    <t>剩余法-待开发</t>
  </si>
  <si>
    <t>项目局部</t>
  </si>
  <si>
    <t>土地</t>
  </si>
  <si>
    <t>3星</t>
  </si>
  <si>
    <t>商业40年、住宅70年</t>
  </si>
  <si>
    <t>青岛海信沧海置业有限公司</t>
  </si>
  <si>
    <t>即土储告字[2016]10号</t>
  </si>
  <si>
    <t>2016-07-18</t>
  </si>
  <si>
    <t>大于1且≤1.5</t>
  </si>
  <si>
    <t>商业、住宅用地</t>
  </si>
  <si>
    <t>JY16-25</t>
  </si>
  <si>
    <t>拍卖</t>
  </si>
  <si>
    <t>即墨省级经济开发区蓝色新区宁海卫路以南、莲花山路以东、盟旺山路以北、成山卫路以西</t>
  </si>
  <si>
    <t>2星</t>
  </si>
  <si>
    <t>70年</t>
  </si>
  <si>
    <t>天津广宇发展股份有限公司</t>
  </si>
  <si>
    <t>即土储告字[2016]13号</t>
  </si>
  <si>
    <t>2016-08-31</t>
  </si>
  <si>
    <t>＞1,≤1.5</t>
  </si>
  <si>
    <t>中低价位、中小套型普通商品住房用地</t>
  </si>
  <si>
    <t>JY16-37</t>
  </si>
  <si>
    <t>即墨省级经济开发区蓝色新区宁海卫路以南、灵山卫路以东、盟旺山路以北、青山卫路以西</t>
  </si>
  <si>
    <t>1星</t>
  </si>
  <si>
    <t>商业、办公40年;住宅70年</t>
  </si>
  <si>
    <t>青岛海合信置业有限公司</t>
  </si>
  <si>
    <t>即土储告字[2016]22号-1</t>
  </si>
  <si>
    <t>2016-11-17</t>
  </si>
  <si>
    <t>≤2.8</t>
  </si>
  <si>
    <t>商业、办公、住宅</t>
  </si>
  <si>
    <t>JY16-55</t>
  </si>
  <si>
    <t>青岛蓝色硅谷核心区山大北路以北、滨海公路以西、硅谷大道以东、沙滩三路以南</t>
  </si>
  <si>
    <t>青岛韵浩置业有限公司</t>
  </si>
  <si>
    <t>即土储告字[2016]23号</t>
  </si>
  <si>
    <t>2016-11-22</t>
  </si>
  <si>
    <t>＞1且≤1.5</t>
  </si>
  <si>
    <t>JY16-58</t>
  </si>
  <si>
    <t>即墨省级经济开发区蓝色新区文山路以东、宁东路以南、临川路以西、翠屏路以北</t>
  </si>
  <si>
    <t>4星</t>
  </si>
  <si>
    <t>住宅70年、商业40年</t>
  </si>
  <si>
    <t>保利(青岛)实业有限公司</t>
  </si>
  <si>
    <t>即土储告字[2017]1号-1</t>
  </si>
  <si>
    <t>2017-02-04</t>
  </si>
  <si>
    <t>＞1且≤2.5</t>
  </si>
  <si>
    <t>住宅、商业用地</t>
  </si>
  <si>
    <t>JY17-1</t>
  </si>
  <si>
    <t>高中路以东、长江二路以北、华山二路以西</t>
  </si>
  <si>
    <t>中海地产集团有限公司</t>
  </si>
  <si>
    <t>即土储告字[2017]4号</t>
  </si>
  <si>
    <t>2017-07-13</t>
  </si>
  <si>
    <t>＞1且≤2</t>
  </si>
  <si>
    <t>JY17-6</t>
  </si>
  <si>
    <t>即墨省级经济开发区埠惜路以东、盟旺山路以南</t>
  </si>
  <si>
    <t>＞1且≤1.4</t>
  </si>
  <si>
    <t>JY17-5</t>
  </si>
  <si>
    <t>即墨省级经济开发区埠惜路以东、盟旺山路以北</t>
  </si>
  <si>
    <t>住宅70年,商业40年</t>
  </si>
  <si>
    <t>广东禾粤合众房地产开发有限公司</t>
  </si>
  <si>
    <t>即土储告字[2017]7号</t>
  </si>
  <si>
    <t>2017-08-18</t>
  </si>
  <si>
    <t>≥1且≤1.5</t>
  </si>
  <si>
    <t>JY17-20</t>
  </si>
  <si>
    <t>即墨省级经济开发区蓝色新区青冈路以南、龙山路以东、适致路以北、壮武路以西</t>
  </si>
  <si>
    <t>青岛华发投资有限公司</t>
  </si>
  <si>
    <t>即土储告字[2018]3号-1</t>
  </si>
  <si>
    <t>2018-05-11</t>
  </si>
  <si>
    <t>JY18-16</t>
  </si>
  <si>
    <t>即墨省级经济开发区蓝色新区皋虞路以南、未央路以东、适致路以北、长广路以西</t>
  </si>
  <si>
    <t>北京金隅地产开发集团有限公司</t>
  </si>
  <si>
    <t>即土储告字[2018]4号-2</t>
  </si>
  <si>
    <t>2018-05-28</t>
  </si>
  <si>
    <t>＞1且≤1.6</t>
  </si>
  <si>
    <t>JY18-19</t>
  </si>
  <si>
    <t>即墨区烟青一级路以东、辽河一路以北、崂山二路以西、青威路以南</t>
  </si>
  <si>
    <t>即土储告字[2018]4号-4</t>
  </si>
  <si>
    <t>JY18-21</t>
  </si>
  <si>
    <t>即土储告字[2018]4号-3</t>
  </si>
  <si>
    <t>JY18-20</t>
  </si>
  <si>
    <t>即土储告字[2018]4号-1</t>
  </si>
  <si>
    <t>JY18-18</t>
  </si>
  <si>
    <t>青岛鑫润置业有限公司</t>
  </si>
  <si>
    <t>即土储告字[2018]8号-1</t>
  </si>
  <si>
    <t>2018-08-29</t>
  </si>
  <si>
    <t>JY18-32</t>
  </si>
  <si>
    <t>即墨区青岛蓝谷鹤山路以南、硅谷大道以东、大任河以北、港中旅以西</t>
  </si>
  <si>
    <t>青岛海尔地产集团有限公司,青岛地铁资源开发有限公司</t>
  </si>
  <si>
    <t>即土储告字[2018]10号</t>
  </si>
  <si>
    <t>2018-10-23</t>
  </si>
  <si>
    <t>JY18-42</t>
  </si>
  <si>
    <t>即墨区青威路以北、明水二路以东、孔雀河三路以南、明水一路以西</t>
  </si>
  <si>
    <t>住宅70年*商业40年</t>
  </si>
  <si>
    <t>宏海發展有限公司</t>
  </si>
  <si>
    <t>即土储告字[2018]15号-1</t>
  </si>
  <si>
    <t>2019-01-03</t>
  </si>
  <si>
    <t>JY18-61</t>
  </si>
  <si>
    <t>挂牌</t>
  </si>
  <si>
    <t>即墨区华山二路以东、湘江三路以南、华山一路以西、长江一路以北</t>
  </si>
  <si>
    <t>土地星级</t>
  </si>
  <si>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</si>
  <si>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</si>
  <si>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</si>
  <si>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</si>
  <si>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</si>
  <si>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</si>
  <si>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</si>
  <si>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</si>
  <si>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</si>
  <si>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</si>
  <si>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</si>
  <si>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</si>
  <si>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</si>
  <si>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</si>
  <si>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田横岛省级旅游度假区府新路以南、田横商贸街以东</t>
  </si>
  <si>
    <t>JY16-3</t>
  </si>
  <si>
    <t>住宅、商业</t>
  </si>
  <si>
    <t>大于1并且小于或等于2.2</t>
  </si>
  <si>
    <t>2016-01-22</t>
  </si>
  <si>
    <t>即土储告字[2016]1号-3</t>
  </si>
  <si>
    <t>青岛鼎胜泰瑞置业有限公司</t>
  </si>
  <si>
    <t>田横岛省级旅游度假区府新路以南、田横商贸街以西</t>
  </si>
  <si>
    <t>JY16-2</t>
  </si>
  <si>
    <t>大于1并且小于或等于2.3</t>
  </si>
  <si>
    <t>即土储告字[2016]1号-2</t>
  </si>
  <si>
    <t>JY16-4</t>
  </si>
  <si>
    <t>即土储告字[2016]1号-4</t>
  </si>
  <si>
    <t>JY16-1</t>
  </si>
  <si>
    <t>即土储告字[2016]1号-1</t>
  </si>
  <si>
    <t>JY15-22</t>
  </si>
  <si>
    <t>2015-09-08</t>
  </si>
  <si>
    <t>即土储告字[2015]9号-2</t>
  </si>
  <si>
    <t>JY15-24</t>
  </si>
  <si>
    <t>大于1并且小于或等于2.5</t>
  </si>
  <si>
    <t>即土储告字[2015]9号-4</t>
  </si>
  <si>
    <t>田横岛省级旅游度假区东环路以北、中环路以东</t>
  </si>
  <si>
    <t>JY14-24</t>
  </si>
  <si>
    <t>大于1并且小于或等于1.5</t>
  </si>
  <si>
    <t>2014-05-14</t>
  </si>
  <si>
    <t>即土告字[2014]23号-2</t>
  </si>
  <si>
    <t>青岛东德盛置业有限公司</t>
  </si>
  <si>
    <t>田横岛省级旅游度假区创新路以南、永福路以西</t>
  </si>
  <si>
    <t>JY14-17</t>
  </si>
  <si>
    <t>2014-02-19</t>
  </si>
  <si>
    <t>即土告字[2014]9号</t>
  </si>
  <si>
    <t>田横镇王村中心社区海城路以南、笔架山路以西、海润路以北</t>
  </si>
  <si>
    <t>JY13-149</t>
  </si>
  <si>
    <t>大于1并且小于或等于1.05</t>
  </si>
  <si>
    <t>2014-02-10</t>
  </si>
  <si>
    <t>即土告字[2013]141号-2</t>
  </si>
  <si>
    <t>田横镇王村中心社区海城路以南、中轴线以西、海润路以北</t>
  </si>
  <si>
    <t>JY14-10</t>
  </si>
  <si>
    <t>即土告字[2014]6号-1</t>
  </si>
  <si>
    <t>JY13-156</t>
  </si>
  <si>
    <t>即土告字[2013]141号-9</t>
  </si>
  <si>
    <t>JY14-9</t>
  </si>
  <si>
    <t>即土告字[2014]6号-4</t>
  </si>
  <si>
    <t>JY14-8</t>
  </si>
  <si>
    <t>即土告字[2014]6号-3</t>
  </si>
  <si>
    <t>JY13-152</t>
  </si>
  <si>
    <t>即土告字[2013]141号-5</t>
  </si>
  <si>
    <t>JY13-150</t>
  </si>
  <si>
    <t>即土告字[2013]141号-3</t>
  </si>
  <si>
    <t>JY13-153</t>
  </si>
  <si>
    <t>即土告字[2013]141号-6</t>
  </si>
  <si>
    <t>JY14-7</t>
  </si>
  <si>
    <t>即土告字[2014]6号-2</t>
  </si>
  <si>
    <t>JY13-154</t>
  </si>
  <si>
    <t>即土告字[2013]141号-7</t>
  </si>
  <si>
    <t>JY13-151</t>
  </si>
  <si>
    <t>即土告字[2013]141号-4</t>
  </si>
  <si>
    <t>JY13-155</t>
  </si>
  <si>
    <t>即土告字[2013]141号-8</t>
  </si>
  <si>
    <t>JY13-148</t>
  </si>
  <si>
    <t>即土告字[2013]141号-1</t>
  </si>
  <si>
    <t>田横岛省级旅游度假区滨海公路以南、洼里村以东</t>
  </si>
  <si>
    <t>JY13-57</t>
  </si>
  <si>
    <t>＞1、≤1.8</t>
  </si>
  <si>
    <t>2013-09-11</t>
  </si>
  <si>
    <t>即土告字[2013]54号-7</t>
  </si>
  <si>
    <t>万讯投资有限公司、青岛怡和盛景旅游发展有限公司</t>
  </si>
  <si>
    <t>田横镇省级旅游度假区滨海公路以南、洼里村以东</t>
  </si>
  <si>
    <t>JY13-50</t>
  </si>
  <si>
    <t>大于1并且小于或等于1.2</t>
  </si>
  <si>
    <t>即土告字[2013]53号-7</t>
  </si>
  <si>
    <t>盈泽投资有限公司</t>
  </si>
  <si>
    <t>JY13-56</t>
  </si>
  <si>
    <t>＞1、≤1.2</t>
  </si>
  <si>
    <t>即土告字[2013]54号-6</t>
  </si>
  <si>
    <t>田横岛旅游度假区滨海公路以南、洼里村以东</t>
  </si>
  <si>
    <t>JY13-37</t>
  </si>
  <si>
    <t>即土告字[2013]50号-8</t>
  </si>
  <si>
    <t>JY13-36</t>
  </si>
  <si>
    <t>即土告字[2013]50号-7</t>
  </si>
  <si>
    <t>JY13-51</t>
  </si>
  <si>
    <t>即土告字[2013]54号-1</t>
  </si>
  <si>
    <t>JY13-58</t>
  </si>
  <si>
    <t>即土告字[2013]55号-1</t>
  </si>
  <si>
    <t>JY13-45</t>
  </si>
  <si>
    <t>大于1并且小于或等于1.8</t>
  </si>
  <si>
    <t>即土告字[2013]53号-2</t>
  </si>
  <si>
    <t>JY13-55</t>
  </si>
  <si>
    <t>即土告字[2013]54号-5</t>
  </si>
  <si>
    <t>JY13-54</t>
  </si>
  <si>
    <t>即土告字[2013]54号-4</t>
  </si>
  <si>
    <t>JY13-48</t>
  </si>
  <si>
    <t>即土告字[2013]53号-5</t>
  </si>
  <si>
    <t>JY13-35</t>
  </si>
  <si>
    <t>即土告字[2013]50号-6</t>
  </si>
  <si>
    <t>JY13-49</t>
  </si>
  <si>
    <t>即土告字[2013]53号-6</t>
  </si>
  <si>
    <t>JY13-60</t>
  </si>
  <si>
    <t>即土告字[2013]55号-3</t>
  </si>
  <si>
    <t>JY13-53</t>
  </si>
  <si>
    <t>即土告字[2013]54号-3</t>
  </si>
  <si>
    <t>JY13-44</t>
  </si>
  <si>
    <t>即土告字[2013]53号-1</t>
  </si>
  <si>
    <t>JY13-63</t>
  </si>
  <si>
    <t>即土告字[2013]55号-6</t>
  </si>
  <si>
    <t>JY13-59</t>
  </si>
  <si>
    <t>即土告字[2013]55号-2</t>
  </si>
  <si>
    <t>JY13-62</t>
  </si>
  <si>
    <t>即土告字[2013]55号-5</t>
  </si>
  <si>
    <t>田横镇府前街以北、规划路以南、规划路以东</t>
  </si>
  <si>
    <t>JY10-71</t>
  </si>
  <si>
    <t>其他普通商品住房用地</t>
  </si>
  <si>
    <t>≤1.5</t>
  </si>
  <si>
    <t>2010-12-15</t>
  </si>
  <si>
    <t>青岛浩天房地产开发有限公司</t>
  </si>
  <si>
    <t>田横镇拖车口村东侧、现子埠村北侧</t>
  </si>
  <si>
    <t>JY10-46</t>
  </si>
  <si>
    <t>≤1.2</t>
  </si>
  <si>
    <t>2010-11-04</t>
  </si>
  <si>
    <t>青岛青船置业有限公司</t>
  </si>
  <si>
    <t>0星</t>
  </si>
  <si>
    <t>田横镇黑子村南、大山前村西</t>
  </si>
  <si>
    <t>JY10-34</t>
  </si>
  <si>
    <t>≤1</t>
  </si>
  <si>
    <t>2010-07-29</t>
  </si>
  <si>
    <t>青岛豪阳置业有限公司</t>
  </si>
  <si>
    <t>田横镇潘家村北、潘家水库北</t>
  </si>
  <si>
    <t>JY10-10</t>
  </si>
  <si>
    <t>旅游、住宅</t>
  </si>
  <si>
    <t>≤1.0</t>
  </si>
  <si>
    <t>2010-04-09</t>
  </si>
  <si>
    <t>青岛中房滨海置业有限公司</t>
  </si>
  <si>
    <t>旅游40年、住宅70年</t>
  </si>
  <si>
    <t>田横镇黑子村东南、规划路以北</t>
  </si>
  <si>
    <t>JY09-39</t>
  </si>
  <si>
    <t>2009-12-10</t>
  </si>
  <si>
    <t>青岛中天嘉合置业有限公司</t>
  </si>
  <si>
    <t>正常</t>
  </si>
  <si>
    <t>楼面地价</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</si>
  <si>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</si>
  <si>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</si>
  <si>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</si>
  <si>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</si>
  <si>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</si>
  <si>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较规则</t>
  </si>
  <si>
    <t>较规则</t>
    <phoneticPr fontId="27" type="noConversion"/>
  </si>
  <si>
    <t>较适宜</t>
  </si>
  <si>
    <t>较适宜</t>
    <phoneticPr fontId="27" type="noConversion"/>
  </si>
  <si>
    <t>七通一平</t>
    <phoneticPr fontId="27" type="noConversion"/>
  </si>
  <si>
    <t>六通一平</t>
    <phoneticPr fontId="27" type="noConversion"/>
  </si>
  <si>
    <t>五通一平</t>
    <phoneticPr fontId="27" type="noConversion"/>
  </si>
  <si>
    <t>四通一平</t>
    <phoneticPr fontId="27" type="noConversion"/>
  </si>
  <si>
    <t>三通一平</t>
    <phoneticPr fontId="27" type="noConversion"/>
  </si>
  <si>
    <t>较好</t>
  </si>
  <si>
    <t>较好</t>
    <phoneticPr fontId="27"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</si>
  <si>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7" type="noConversion"/>
  </si>
  <si>
    <t>住宅、商业</t>
    <phoneticPr fontId="7" type="noConversion"/>
  </si>
  <si>
    <t>住宅64.4年、商业34.4年</t>
    <phoneticPr fontId="7" type="noConversion"/>
  </si>
  <si>
    <t>差</t>
  </si>
  <si>
    <t>一般</t>
  </si>
  <si>
    <t>较差</t>
  </si>
  <si>
    <t>七通</t>
  </si>
  <si>
    <t>适宜</t>
    <phoneticPr fontId="27" type="noConversion"/>
  </si>
  <si>
    <t>略大/略小</t>
    <phoneticPr fontId="27" type="noConversion"/>
  </si>
  <si>
    <t>大/小</t>
    <phoneticPr fontId="27"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</si>
  <si>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7" type="noConversion"/>
  </si>
  <si>
    <t>https://qd.house.qq.com/a/20161122/024646.htm</t>
    <phoneticPr fontId="229" type="noConversion"/>
  </si>
  <si>
    <t>https://m.leju.com/news-qd-6160616967016607123.html</t>
    <phoneticPr fontId="229" type="noConversion"/>
  </si>
  <si>
    <t>https://www.sohu.com/a/113060387_363313</t>
    <phoneticPr fontId="229" type="noConversion"/>
  </si>
  <si>
    <t>碧桂园蓝谷之光</t>
    <phoneticPr fontId="4" type="noConversion"/>
  </si>
  <si>
    <t>中国·青岛·蓝色硅谷核心区</t>
    <phoneticPr fontId="4" type="noConversion"/>
  </si>
  <si>
    <t>住宅</t>
    <phoneticPr fontId="22" type="noConversion"/>
  </si>
  <si>
    <t>60-70（含）</t>
  </si>
  <si>
    <t>洋房</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</si>
  <si>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</si>
  <si>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</si>
  <si>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</si>
  <si>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</si>
  <si>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</si>
  <si>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</si>
  <si>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</si>
  <si>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</si>
  <si>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</si>
  <si>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七通</t>
    <phoneticPr fontId="22" type="noConversion"/>
  </si>
  <si>
    <t>平层</t>
  </si>
  <si>
    <t>平层</t>
    <phoneticPr fontId="22" type="noConversion"/>
  </si>
  <si>
    <t>精装</t>
    <phoneticPr fontId="22" type="noConversion"/>
  </si>
  <si>
    <t>简装</t>
    <phoneticPr fontId="22" type="noConversion"/>
  </si>
  <si>
    <t>毛坯</t>
  </si>
  <si>
    <t>毛坯</t>
    <phoneticPr fontId="22" type="noConversion"/>
  </si>
  <si>
    <t>三盛国际海岸</t>
    <phoneticPr fontId="4" type="noConversion"/>
  </si>
  <si>
    <t>岭海西路36号(国际博览中心北)</t>
    <phoneticPr fontId="4" type="noConversion"/>
  </si>
  <si>
    <r>
      <rPr>
        <sz val="11"/>
        <rFont val="宋体"/>
        <family val="3"/>
        <charset val="134"/>
      </rPr>
      <t>装修报价</t>
    </r>
    <r>
      <rPr>
        <sz val="11"/>
        <rFont val="Arial"/>
        <family val="2"/>
      </rPr>
      <t>3600</t>
    </r>
    <r>
      <rPr>
        <sz val="11"/>
        <rFont val="宋体"/>
        <family val="3"/>
        <charset val="134"/>
      </rPr>
      <t>，送车位</t>
    </r>
    <r>
      <rPr>
        <sz val="11"/>
        <rFont val="Arial"/>
        <family val="2"/>
      </rPr>
      <t>12</t>
    </r>
    <r>
      <rPr>
        <sz val="11"/>
        <rFont val="宋体"/>
        <family val="3"/>
        <charset val="134"/>
      </rPr>
      <t>万</t>
    </r>
    <phoneticPr fontId="22" type="noConversion"/>
  </si>
  <si>
    <t>赠送</t>
    <phoneticPr fontId="22" type="noConversion"/>
  </si>
  <si>
    <t>无</t>
    <phoneticPr fontId="22" type="noConversion"/>
  </si>
  <si>
    <t>送车位</t>
    <phoneticPr fontId="22" type="noConversion"/>
  </si>
  <si>
    <r>
      <rPr>
        <sz val="11"/>
        <rFont val="宋体"/>
        <family val="3"/>
        <charset val="134"/>
      </rPr>
      <t>装修报价</t>
    </r>
    <r>
      <rPr>
        <sz val="11"/>
        <rFont val="Arial"/>
        <family val="2"/>
      </rPr>
      <t>2500</t>
    </r>
    <r>
      <rPr>
        <sz val="11"/>
        <rFont val="宋体"/>
        <family val="3"/>
        <charset val="134"/>
      </rPr>
      <t>，送车位</t>
    </r>
    <phoneticPr fontId="22" type="noConversion"/>
  </si>
  <si>
    <t>占比</t>
    <phoneticPr fontId="229" type="noConversion"/>
  </si>
  <si>
    <t>商业</t>
    <phoneticPr fontId="229" type="noConversion"/>
  </si>
  <si>
    <t>住宅</t>
    <phoneticPr fontId="229" type="noConversion"/>
  </si>
  <si>
    <t>中建岭海尚溪地</t>
    <phoneticPr fontId="4" type="noConversion"/>
  </si>
  <si>
    <t>温泉镇岭海中路86号</t>
    <phoneticPr fontId="4" type="noConversion"/>
  </si>
  <si>
    <r>
      <rPr>
        <sz val="11"/>
        <rFont val="宋体"/>
        <family val="3"/>
        <charset val="134"/>
      </rPr>
      <t>装修报价1</t>
    </r>
    <r>
      <rPr>
        <sz val="11"/>
        <rFont val="Arial"/>
        <family val="2"/>
      </rPr>
      <t>500</t>
    </r>
    <r>
      <rPr>
        <sz val="11"/>
        <rFont val="宋体"/>
        <family val="3"/>
        <charset val="134"/>
      </rPr>
      <t>，车位按首付比例（高比例</t>
    </r>
    <r>
      <rPr>
        <sz val="11"/>
        <rFont val="Arial"/>
        <family val="2"/>
      </rPr>
      <t>1</t>
    </r>
    <r>
      <rPr>
        <sz val="11"/>
        <rFont val="宋体"/>
        <family val="3"/>
        <charset val="134"/>
      </rPr>
      <t>万买车位，较高比例</t>
    </r>
    <r>
      <rPr>
        <sz val="11"/>
        <rFont val="Arial"/>
        <family val="2"/>
      </rPr>
      <t>2</t>
    </r>
    <r>
      <rPr>
        <sz val="11"/>
        <rFont val="宋体"/>
        <family val="3"/>
        <charset val="134"/>
      </rPr>
      <t>万买车位，比例较低另行购买车位，前期车位成交价</t>
    </r>
    <r>
      <rPr>
        <sz val="11"/>
        <rFont val="Arial"/>
        <family val="2"/>
      </rPr>
      <t>6</t>
    </r>
    <r>
      <rPr>
        <sz val="11"/>
        <rFont val="宋体"/>
        <family val="3"/>
        <charset val="134"/>
      </rPr>
      <t>万）</t>
    </r>
    <phoneticPr fontId="22" type="noConversion"/>
  </si>
  <si>
    <t>不小于50%</t>
    <phoneticPr fontId="277" type="noConversion"/>
  </si>
  <si>
    <t>不小于20%</t>
    <phoneticPr fontId="277" type="noConversion"/>
  </si>
  <si>
    <t>土地平整费</t>
    <phoneticPr fontId="10" type="noConversion"/>
  </si>
  <si>
    <t>多层</t>
    <phoneticPr fontId="229" type="noConversion"/>
  </si>
  <si>
    <t>小高层</t>
    <phoneticPr fontId="229" type="noConversion"/>
  </si>
  <si>
    <t>高层</t>
    <phoneticPr fontId="229" type="noConversion"/>
  </si>
  <si>
    <t>小计</t>
    <phoneticPr fontId="229" type="noConversion"/>
  </si>
  <si>
    <t>多层</t>
    <phoneticPr fontId="8" type="noConversion"/>
  </si>
  <si>
    <t>山东省青岛市</t>
    <phoneticPr fontId="7" type="noConversion"/>
  </si>
  <si>
    <t>即墨区田横度假区滨海公路共29宗住宅、商业用地</t>
    <phoneticPr fontId="7" type="noConversion"/>
  </si>
  <si>
    <t>青岛金港蓝湾商业发展有限公司、青岛美域星海置业有限公司、青岛怡和万盛置业有限公司</t>
    <phoneticPr fontId="7" type="noConversion"/>
  </si>
  <si>
    <t>场地未平整</t>
  </si>
  <si>
    <t>现状宗地用作水产养殖场</t>
    <phoneticPr fontId="7" type="noConversion"/>
  </si>
  <si>
    <t>平整</t>
  </si>
  <si>
    <t>通路</t>
  </si>
  <si>
    <t>通电</t>
  </si>
  <si>
    <t>通上水</t>
  </si>
  <si>
    <t>宗地面积</t>
    <phoneticPr fontId="27" type="noConversion"/>
  </si>
  <si>
    <t>折扣</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</si>
</sst>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theme="1"/>
      <name val="宋体"/>
      <family val="2"/>
      <charset val="134"/>
      <scheme val="minor"/>
    </font>
    <font>
      <b/>
      <sz val="9"/>
      <color theme="1"/>
      <name val="微软雅黑"/>
      <family val="2"/>
      <charset val="134"/>
    </font>
    <font>
      <sz val="9"/>
      <name val="宋体"/>
      <family val="2"/>
      <charset val="134"/>
      <scheme val="minor"/>
    </font>
    <font>
      <sz val="9"/>
      <color theme="1"/>
      <name val="微软雅黑"/>
      <family val="2"/>
      <charset val="134"/>
    </font>
    <font>
      <sz val="9"/>
      <name val="微软雅黑"/>
      <family val="2"/>
      <charset val="134"/>
    </font>
    <font>
      <sz val="9"/>
      <color theme="1"/>
      <name val="宋体"/>
      <family val="3"/>
      <charset val="134"/>
      <scheme val="minor"/>
    </font>
    <font>
      <u/>
      <sz val="11"/>
      <color theme="10"/>
      <name val="宋体"/>
      <family val="3"/>
      <charset val="134"/>
      <scheme val="minor"/>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4"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281" fillId="0" borderId="0" applyNumberFormat="0" applyFill="0" applyBorder="0" applyAlignment="0" applyProtection="0">
      <alignment vertical="center"/>
    </xf>
  </cellStyleXfs>
  <cellXfs count="357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75" fillId="0" borderId="0" xfId="16" applyFont="1">
      <alignment vertical="center"/>
    </xf>
    <xf numFmtId="0" fontId="1" fillId="0" borderId="0" xfId="16">
      <alignment vertical="center"/>
    </xf>
    <xf numFmtId="0" fontId="275" fillId="19" borderId="0" xfId="16" applyFont="1" applyFill="1">
      <alignment vertical="center"/>
    </xf>
    <xf numFmtId="0" fontId="1" fillId="20" borderId="0" xfId="16" applyFill="1" applyAlignment="1">
      <alignment horizontal="center" vertical="center"/>
    </xf>
    <xf numFmtId="177" fontId="82" fillId="0" borderId="2" xfId="2" applyNumberFormat="1" applyFont="1" applyFill="1" applyBorder="1" applyAlignment="1" applyProtection="1">
      <alignment vertical="center"/>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horizontal="center" vertical="top" wrapText="1"/>
      <protection locked="0"/>
    </xf>
    <xf numFmtId="0" fontId="135" fillId="0" borderId="155" xfId="0" applyFont="1" applyFill="1" applyBorder="1" applyAlignment="1" applyProtection="1">
      <alignment horizontal="center" vertical="top" wrapText="1"/>
      <protection locked="0"/>
    </xf>
    <xf numFmtId="0" fontId="83" fillId="0" borderId="155" xfId="0" applyFont="1" applyFill="1" applyBorder="1" applyAlignment="1" applyProtection="1">
      <alignment vertical="top" wrapText="1"/>
      <protection locked="0"/>
    </xf>
    <xf numFmtId="0" fontId="83" fillId="0" borderId="155" xfId="0" applyNumberFormat="1" applyFont="1" applyFill="1" applyBorder="1" applyAlignment="1" applyProtection="1">
      <alignment horizontal="center" vertical="top" wrapText="1"/>
      <protection locked="0"/>
    </xf>
    <xf numFmtId="0" fontId="279" fillId="0" borderId="2" xfId="0" applyFont="1" applyFill="1" applyBorder="1" applyAlignment="1">
      <alignment horizontal="left" vertical="top" wrapText="1"/>
    </xf>
    <xf numFmtId="0" fontId="279" fillId="0" borderId="2" xfId="0" applyFont="1" applyFill="1" applyBorder="1" applyAlignment="1">
      <alignment horizontal="left" vertical="top"/>
    </xf>
    <xf numFmtId="0" fontId="87" fillId="0" borderId="0" xfId="17"/>
    <xf numFmtId="0" fontId="280" fillId="0" borderId="0" xfId="0" applyFont="1" applyAlignment="1">
      <alignment horizontal="left" vertical="top"/>
    </xf>
    <xf numFmtId="0" fontId="280" fillId="0" borderId="0" xfId="0" applyFont="1" applyFill="1" applyAlignment="1">
      <alignment horizontal="left" vertical="top"/>
    </xf>
    <xf numFmtId="0" fontId="280" fillId="21" borderId="0" xfId="0" applyFont="1" applyFill="1" applyAlignment="1">
      <alignment horizontal="left" vertical="top"/>
    </xf>
    <xf numFmtId="0" fontId="280" fillId="0" borderId="0" xfId="0" applyFont="1">
      <alignment vertical="center"/>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177" fontId="72" fillId="0" borderId="2" xfId="0" applyNumberFormat="1" applyFont="1" applyFill="1" applyBorder="1" applyAlignment="1" applyProtection="1">
      <alignment horizontal="center" vertical="center" wrapText="1"/>
      <protection locked="0"/>
    </xf>
    <xf numFmtId="0" fontId="85" fillId="7" borderId="1" xfId="0" applyNumberFormat="1" applyFont="1" applyFill="1" applyBorder="1" applyAlignment="1" applyProtection="1">
      <alignment horizontal="center" vertical="center" wrapText="1"/>
      <protection locked="0"/>
    </xf>
    <xf numFmtId="0" fontId="72" fillId="22" borderId="12" xfId="0" applyNumberFormat="1" applyFont="1" applyFill="1" applyBorder="1" applyAlignment="1" applyProtection="1">
      <alignment horizontal="center" vertical="center" wrapText="1"/>
    </xf>
    <xf numFmtId="0" fontId="145" fillId="0" borderId="5" xfId="0" applyFont="1" applyFill="1" applyBorder="1" applyAlignment="1" applyProtection="1">
      <alignment horizontal="center" vertical="center"/>
      <protection locked="0"/>
    </xf>
    <xf numFmtId="0" fontId="281" fillId="21" borderId="0" xfId="18" applyFill="1" applyAlignment="1">
      <alignment horizontal="left" vertical="top"/>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76" fillId="18" borderId="2" xfId="16" applyFont="1" applyFill="1" applyBorder="1" applyAlignment="1">
      <alignment horizontal="left" vertical="top" wrapText="1"/>
    </xf>
    <xf numFmtId="0" fontId="276" fillId="0" borderId="2" xfId="16" applyFont="1" applyBorder="1" applyAlignment="1">
      <alignment horizontal="left" vertical="top" wrapText="1"/>
    </xf>
    <xf numFmtId="0" fontId="278" fillId="17" borderId="2" xfId="16" applyFont="1" applyFill="1" applyBorder="1" applyAlignment="1">
      <alignment horizontal="left" vertical="top" wrapText="1"/>
    </xf>
    <xf numFmtId="194" fontId="278" fillId="17" borderId="2" xfId="16" applyNumberFormat="1" applyFont="1" applyFill="1" applyBorder="1" applyAlignment="1">
      <alignment horizontal="left" vertical="top" wrapText="1"/>
    </xf>
    <xf numFmtId="14" fontId="278" fillId="17" borderId="2" xfId="16" applyNumberFormat="1" applyFont="1" applyFill="1" applyBorder="1" applyAlignment="1">
      <alignment horizontal="left" vertical="top" wrapText="1"/>
    </xf>
    <xf numFmtId="0" fontId="278" fillId="18" borderId="2" xfId="16" applyFont="1" applyFill="1" applyBorder="1" applyAlignment="1">
      <alignment horizontal="left" vertical="top" wrapText="1"/>
    </xf>
    <xf numFmtId="0" fontId="276" fillId="19" borderId="2" xfId="16" applyFont="1" applyFill="1" applyBorder="1" applyAlignment="1">
      <alignment horizontal="left" vertical="top" wrapText="1"/>
    </xf>
    <xf numFmtId="194" fontId="276" fillId="19" borderId="2" xfId="16" applyNumberFormat="1" applyFont="1" applyFill="1" applyBorder="1" applyAlignment="1">
      <alignment horizontal="left" vertical="top" wrapText="1"/>
    </xf>
    <xf numFmtId="14" fontId="276" fillId="19" borderId="2" xfId="16" applyNumberFormat="1" applyFont="1" applyFill="1" applyBorder="1" applyAlignment="1">
      <alignment horizontal="left" vertical="top" wrapText="1"/>
    </xf>
    <xf numFmtId="0" fontId="276" fillId="0" borderId="0" xfId="16" applyFont="1" applyAlignment="1">
      <alignment horizontal="left" vertical="top" wrapText="1"/>
    </xf>
    <xf numFmtId="0" fontId="278" fillId="17" borderId="0" xfId="16" applyFont="1" applyFill="1" applyAlignment="1">
      <alignment horizontal="left" vertical="top" wrapText="1"/>
    </xf>
    <xf numFmtId="0" fontId="278" fillId="17" borderId="0" xfId="16" applyNumberFormat="1" applyFont="1" applyFill="1" applyAlignment="1">
      <alignment horizontal="left" vertical="top" wrapText="1"/>
    </xf>
    <xf numFmtId="0" fontId="278" fillId="18" borderId="0" xfId="16" applyFont="1" applyFill="1" applyAlignment="1">
      <alignment horizontal="left" vertical="top" wrapText="1"/>
    </xf>
    <xf numFmtId="0" fontId="276" fillId="18" borderId="0" xfId="16" applyFont="1" applyFill="1" applyAlignment="1">
      <alignment horizontal="left" vertical="top" wrapText="1"/>
    </xf>
    <xf numFmtId="9" fontId="276" fillId="18" borderId="0" xfId="16" applyNumberFormat="1" applyFont="1" applyFill="1" applyAlignment="1">
      <alignment horizontal="left" vertical="top" wrapText="1"/>
    </xf>
    <xf numFmtId="0" fontId="278" fillId="23" borderId="2" xfId="16" applyFont="1" applyFill="1" applyBorder="1" applyAlignment="1">
      <alignment horizontal="left" vertical="top" wrapText="1"/>
    </xf>
    <xf numFmtId="14" fontId="278" fillId="23" borderId="2" xfId="16" applyNumberFormat="1" applyFont="1" applyFill="1" applyBorder="1" applyAlignment="1">
      <alignment horizontal="left" vertical="top" wrapText="1"/>
    </xf>
    <xf numFmtId="0" fontId="278" fillId="23" borderId="0" xfId="16" applyFont="1" applyFill="1" applyAlignment="1">
      <alignment horizontal="left" vertical="top" wrapText="1"/>
    </xf>
    <xf numFmtId="0" fontId="1" fillId="19" borderId="0" xfId="16" applyFill="1">
      <alignment vertical="center"/>
    </xf>
    <xf numFmtId="0" fontId="79" fillId="8" borderId="8" xfId="0" applyFont="1" applyFill="1" applyBorder="1" applyAlignment="1" applyProtection="1">
      <alignment vertical="center"/>
      <protection locked="0"/>
    </xf>
    <xf numFmtId="0" fontId="145" fillId="5" borderId="0" xfId="0" applyFont="1" applyFill="1" applyAlignment="1" applyProtection="1">
      <alignment horizontal="center" vertical="center"/>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6" fillId="18" borderId="10" xfId="16" applyFont="1" applyFill="1" applyBorder="1" applyAlignment="1">
      <alignment horizontal="left" vertical="top" wrapText="1"/>
    </xf>
    <xf numFmtId="0" fontId="276" fillId="18" borderId="3" xfId="16" applyFont="1" applyFill="1" applyBorder="1" applyAlignment="1">
      <alignment horizontal="left" vertical="top" wrapText="1"/>
    </xf>
    <xf numFmtId="0" fontId="276" fillId="18" borderId="21" xfId="16" applyFont="1" applyFill="1" applyBorder="1" applyAlignment="1">
      <alignment horizontal="left" vertical="top" wrapText="1"/>
    </xf>
    <xf numFmtId="0" fontId="276" fillId="18" borderId="5" xfId="16" applyFont="1" applyFill="1" applyBorder="1" applyAlignment="1">
      <alignment horizontal="left" vertical="top" wrapText="1"/>
    </xf>
    <xf numFmtId="0" fontId="276" fillId="18" borderId="8" xfId="16" applyFont="1" applyFill="1" applyBorder="1" applyAlignment="1">
      <alignment horizontal="left" vertical="top" wrapText="1"/>
    </xf>
    <xf numFmtId="0" fontId="276" fillId="18" borderId="9" xfId="16" applyFont="1" applyFill="1" applyBorder="1" applyAlignment="1">
      <alignment horizontal="left" vertical="top" wrapText="1"/>
    </xf>
    <xf numFmtId="0" fontId="276" fillId="17" borderId="10" xfId="16" applyFont="1" applyFill="1" applyBorder="1" applyAlignment="1">
      <alignment horizontal="left" vertical="top" wrapText="1"/>
    </xf>
    <xf numFmtId="0" fontId="276" fillId="17" borderId="3" xfId="16" applyFont="1" applyFill="1" applyBorder="1" applyAlignment="1">
      <alignment horizontal="left" vertical="top" wrapText="1"/>
    </xf>
    <xf numFmtId="0" fontId="276" fillId="17" borderId="21" xfId="16" applyFont="1" applyFill="1" applyBorder="1" applyAlignment="1">
      <alignment horizontal="left" vertical="top" wrapText="1"/>
    </xf>
    <xf numFmtId="14" fontId="276" fillId="17" borderId="10" xfId="16" applyNumberFormat="1" applyFont="1" applyFill="1" applyBorder="1" applyAlignment="1">
      <alignment horizontal="left" vertical="top" wrapText="1"/>
    </xf>
    <xf numFmtId="14" fontId="276" fillId="17" borderId="3" xfId="16" applyNumberFormat="1" applyFont="1" applyFill="1" applyBorder="1" applyAlignment="1">
      <alignment horizontal="left" vertical="top" wrapText="1"/>
    </xf>
    <xf numFmtId="14" fontId="276" fillId="17" borderId="21" xfId="16" applyNumberFormat="1" applyFont="1" applyFill="1" applyBorder="1" applyAlignment="1">
      <alignment horizontal="left" vertical="top" wrapText="1"/>
    </xf>
    <xf numFmtId="0" fontId="276" fillId="23" borderId="10" xfId="16" applyFont="1" applyFill="1" applyBorder="1" applyAlignment="1">
      <alignment horizontal="left" vertical="top" wrapText="1"/>
    </xf>
    <xf numFmtId="0" fontId="276" fillId="23" borderId="3" xfId="16" applyFont="1" applyFill="1" applyBorder="1" applyAlignment="1">
      <alignment horizontal="left" vertical="top" wrapText="1"/>
    </xf>
    <xf numFmtId="0" fontId="276" fillId="23" borderId="21" xfId="16" applyFont="1" applyFill="1" applyBorder="1" applyAlignment="1">
      <alignment horizontal="left" vertical="top" wrapText="1"/>
    </xf>
    <xf numFmtId="194" fontId="276" fillId="17" borderId="10" xfId="16" applyNumberFormat="1" applyFont="1" applyFill="1" applyBorder="1" applyAlignment="1">
      <alignment horizontal="left" vertical="top" wrapText="1"/>
    </xf>
    <xf numFmtId="194" fontId="276" fillId="17" borderId="3" xfId="16" applyNumberFormat="1" applyFont="1" applyFill="1" applyBorder="1" applyAlignment="1">
      <alignment horizontal="left" vertical="top" wrapText="1"/>
    </xf>
    <xf numFmtId="194" fontId="276" fillId="17" borderId="21" xfId="16" applyNumberFormat="1" applyFont="1" applyFill="1" applyBorder="1" applyAlignment="1">
      <alignment horizontal="left" vertical="top" wrapText="1"/>
    </xf>
    <xf numFmtId="0" fontId="276" fillId="18" borderId="2" xfId="16" applyFont="1" applyFill="1" applyBorder="1" applyAlignment="1">
      <alignment horizontal="left" vertical="top" wrapText="1"/>
    </xf>
    <xf numFmtId="0" fontId="276" fillId="0" borderId="2" xfId="16" applyFont="1" applyBorder="1" applyAlignment="1">
      <alignment horizontal="left" vertical="top" wrapText="1"/>
    </xf>
    <xf numFmtId="0" fontId="278" fillId="18" borderId="2" xfId="16" applyFont="1" applyFill="1" applyBorder="1" applyAlignment="1">
      <alignment horizontal="left" vertical="top" wrapText="1"/>
    </xf>
    <xf numFmtId="9" fontId="278" fillId="18" borderId="2" xfId="16" applyNumberFormat="1" applyFont="1" applyFill="1" applyBorder="1" applyAlignment="1">
      <alignment horizontal="left" vertical="top" wrapText="1"/>
    </xf>
    <xf numFmtId="0" fontId="276" fillId="0" borderId="10" xfId="16" applyFont="1" applyBorder="1" applyAlignment="1">
      <alignment horizontal="left" vertical="top" wrapText="1"/>
    </xf>
    <xf numFmtId="0" fontId="276" fillId="0" borderId="3" xfId="16" applyFont="1" applyBorder="1" applyAlignment="1">
      <alignment horizontal="left" vertical="top" wrapText="1"/>
    </xf>
    <xf numFmtId="0" fontId="276" fillId="0" borderId="21" xfId="16" applyFont="1" applyBorder="1" applyAlignment="1">
      <alignment horizontal="left" vertical="top" wrapText="1"/>
    </xf>
    <xf numFmtId="0" fontId="278" fillId="18" borderId="10" xfId="16" applyFont="1" applyFill="1" applyBorder="1" applyAlignment="1">
      <alignment horizontal="left" vertical="top" wrapText="1"/>
    </xf>
    <xf numFmtId="0" fontId="278" fillId="18" borderId="3" xfId="16" applyFont="1" applyFill="1" applyBorder="1" applyAlignment="1">
      <alignment horizontal="left" vertical="top" wrapText="1"/>
    </xf>
    <xf numFmtId="0" fontId="278" fillId="18" borderId="21" xfId="16" applyFont="1" applyFill="1" applyBorder="1" applyAlignment="1">
      <alignment horizontal="left" vertical="top"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35" fillId="0" borderId="155" xfId="0" applyFont="1" applyFill="1" applyBorder="1" applyAlignment="1" applyProtection="1">
      <alignment horizontal="center" vertical="top" wrapText="1"/>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vertical="top" wrapText="1"/>
      <protection locked="0"/>
    </xf>
    <xf numFmtId="0" fontId="83" fillId="0" borderId="155" xfId="0" applyFont="1" applyFill="1" applyBorder="1" applyAlignment="1" applyProtection="1">
      <alignment vertical="center" wrapText="1"/>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9" fillId="0" borderId="2" xfId="0" applyFont="1" applyFill="1" applyBorder="1" applyAlignment="1">
      <alignment horizontal="left" vertical="top"/>
    </xf>
    <xf numFmtId="0" fontId="282" fillId="0" borderId="9" xfId="0" applyNumberFormat="1" applyFont="1" applyFill="1" applyBorder="1" applyAlignment="1" applyProtection="1">
      <alignment horizontal="center" vertical="center" wrapText="1"/>
      <protection locked="0"/>
    </xf>
    <xf numFmtId="0" fontId="282" fillId="0" borderId="76" xfId="0" applyNumberFormat="1" applyFont="1" applyFill="1" applyBorder="1" applyAlignment="1" applyProtection="1">
      <alignment horizontal="center" vertical="center" wrapText="1"/>
      <protection locked="0"/>
    </xf>
    <xf numFmtId="0" fontId="257" fillId="0" borderId="2" xfId="14" applyBorder="1" applyAlignment="1" applyProtection="1">
      <alignment horizontal="left" vertical="center"/>
      <protection locked="0"/>
    </xf>
  </cellXfs>
  <cellStyles count="19">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6"/>
    <cellStyle name="常规 9" xfId="14"/>
    <cellStyle name="超链接" xfId="18"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3</xdr:col>
      <xdr:colOff>1990725</xdr:colOff>
      <xdr:row>48</xdr:row>
      <xdr:rowOff>99327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38600"/>
          <a:ext cx="7477125" cy="5071377"/>
        </a:xfrm>
        <a:prstGeom prst="rect">
          <a:avLst/>
        </a:prstGeom>
      </xdr:spPr>
    </xdr:pic>
    <xdr:clientData/>
  </xdr:twoCellAnchor>
  <xdr:twoCellAnchor editAs="oneCell">
    <xdr:from>
      <xdr:col>0</xdr:col>
      <xdr:colOff>1</xdr:colOff>
      <xdr:row>50</xdr:row>
      <xdr:rowOff>0</xdr:rowOff>
    </xdr:from>
    <xdr:to>
      <xdr:col>3</xdr:col>
      <xdr:colOff>133351</xdr:colOff>
      <xdr:row>75</xdr:row>
      <xdr:rowOff>18869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353550"/>
          <a:ext cx="5619750" cy="4305119"/>
        </a:xfrm>
        <a:prstGeom prst="rect">
          <a:avLst/>
        </a:prstGeom>
      </xdr:spPr>
    </xdr:pic>
    <xdr:clientData/>
  </xdr:twoCellAnchor>
  <xdr:twoCellAnchor editAs="oneCell">
    <xdr:from>
      <xdr:col>0</xdr:col>
      <xdr:colOff>0</xdr:colOff>
      <xdr:row>75</xdr:row>
      <xdr:rowOff>83325</xdr:rowOff>
    </xdr:from>
    <xdr:to>
      <xdr:col>3</xdr:col>
      <xdr:colOff>672230</xdr:colOff>
      <xdr:row>92</xdr:row>
      <xdr:rowOff>159164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23125"/>
          <a:ext cx="6158630" cy="2990489"/>
        </a:xfrm>
        <a:prstGeom prst="rect">
          <a:avLst/>
        </a:prstGeom>
      </xdr:spPr>
    </xdr:pic>
    <xdr:clientData/>
  </xdr:twoCellAnchor>
  <xdr:twoCellAnchor editAs="oneCell">
    <xdr:from>
      <xdr:col>4</xdr:col>
      <xdr:colOff>103931</xdr:colOff>
      <xdr:row>75</xdr:row>
      <xdr:rowOff>117341</xdr:rowOff>
    </xdr:from>
    <xdr:to>
      <xdr:col>8</xdr:col>
      <xdr:colOff>1333500</xdr:colOff>
      <xdr:row>94</xdr:row>
      <xdr:rowOff>46157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33506" y="13757141"/>
          <a:ext cx="6134944" cy="3186366"/>
        </a:xfrm>
        <a:prstGeom prst="rect">
          <a:avLst/>
        </a:prstGeom>
      </xdr:spPr>
    </xdr:pic>
    <xdr:clientData/>
  </xdr:twoCellAnchor>
  <xdr:twoCellAnchor editAs="oneCell">
    <xdr:from>
      <xdr:col>4</xdr:col>
      <xdr:colOff>66675</xdr:colOff>
      <xdr:row>50</xdr:row>
      <xdr:rowOff>37193</xdr:rowOff>
    </xdr:from>
    <xdr:to>
      <xdr:col>8</xdr:col>
      <xdr:colOff>1064400</xdr:colOff>
      <xdr:row>75</xdr:row>
      <xdr:rowOff>108418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0" y="9390743"/>
          <a:ext cx="5903100" cy="4357475"/>
        </a:xfrm>
        <a:prstGeom prst="rect">
          <a:avLst/>
        </a:prstGeom>
      </xdr:spPr>
    </xdr:pic>
    <xdr:clientData/>
  </xdr:twoCellAnchor>
  <xdr:twoCellAnchor editAs="oneCell">
    <xdr:from>
      <xdr:col>9</xdr:col>
      <xdr:colOff>694760</xdr:colOff>
      <xdr:row>76</xdr:row>
      <xdr:rowOff>141044</xdr:rowOff>
    </xdr:from>
    <xdr:to>
      <xdr:col>12</xdr:col>
      <xdr:colOff>714374</xdr:colOff>
      <xdr:row>93</xdr:row>
      <xdr:rowOff>125001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563285" y="13952294"/>
          <a:ext cx="6125139" cy="2898607"/>
        </a:xfrm>
        <a:prstGeom prst="rect">
          <a:avLst/>
        </a:prstGeom>
      </xdr:spPr>
    </xdr:pic>
    <xdr:clientData/>
  </xdr:twoCellAnchor>
  <xdr:twoCellAnchor editAs="oneCell">
    <xdr:from>
      <xdr:col>9</xdr:col>
      <xdr:colOff>685800</xdr:colOff>
      <xdr:row>50</xdr:row>
      <xdr:rowOff>120522</xdr:rowOff>
    </xdr:from>
    <xdr:to>
      <xdr:col>12</xdr:col>
      <xdr:colOff>740549</xdr:colOff>
      <xdr:row>76</xdr:row>
      <xdr:rowOff>107354</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554325" y="9474072"/>
          <a:ext cx="6160274" cy="4444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10</xdr:col>
      <xdr:colOff>439513</xdr:colOff>
      <xdr:row>43</xdr:row>
      <xdr:rowOff>9525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86050"/>
          <a:ext cx="7126063" cy="5153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177193</xdr:colOff>
      <xdr:row>33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720993" cy="5743574"/>
        </a:xfrm>
        <a:prstGeom prst="rect">
          <a:avLst/>
        </a:prstGeom>
      </xdr:spPr>
    </xdr:pic>
    <xdr:clientData/>
  </xdr:twoCellAnchor>
  <xdr:twoCellAnchor editAs="oneCell">
    <xdr:from>
      <xdr:col>0</xdr:col>
      <xdr:colOff>0</xdr:colOff>
      <xdr:row>34</xdr:row>
      <xdr:rowOff>9526</xdr:rowOff>
    </xdr:from>
    <xdr:to>
      <xdr:col>11</xdr:col>
      <xdr:colOff>323612</xdr:colOff>
      <xdr:row>59</xdr:row>
      <xdr:rowOff>27450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38826"/>
          <a:ext cx="7867412" cy="4304174"/>
        </a:xfrm>
        <a:prstGeom prst="rect">
          <a:avLst/>
        </a:prstGeom>
      </xdr:spPr>
    </xdr:pic>
    <xdr:clientData/>
  </xdr:twoCellAnchor>
  <xdr:twoCellAnchor editAs="oneCell">
    <xdr:from>
      <xdr:col>0</xdr:col>
      <xdr:colOff>0</xdr:colOff>
      <xdr:row>59</xdr:row>
      <xdr:rowOff>142875</xdr:rowOff>
    </xdr:from>
    <xdr:to>
      <xdr:col>11</xdr:col>
      <xdr:colOff>445048</xdr:colOff>
      <xdr:row>86</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58425"/>
          <a:ext cx="7988848" cy="4552950"/>
        </a:xfrm>
        <a:prstGeom prst="rect">
          <a:avLst/>
        </a:prstGeom>
      </xdr:spPr>
    </xdr:pic>
    <xdr:clientData/>
  </xdr:twoCellAnchor>
  <xdr:twoCellAnchor editAs="oneCell">
    <xdr:from>
      <xdr:col>11</xdr:col>
      <xdr:colOff>85725</xdr:colOff>
      <xdr:row>0</xdr:row>
      <xdr:rowOff>0</xdr:rowOff>
    </xdr:from>
    <xdr:to>
      <xdr:col>20</xdr:col>
      <xdr:colOff>485775</xdr:colOff>
      <xdr:row>25</xdr:row>
      <xdr:rowOff>8834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9525" y="0"/>
          <a:ext cx="6572250" cy="42950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F01&#30000;&#27178;/&#22303;&#22320;&#65288;A&#32452;&#2224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320;&#65288;&#21363;&#22696;&#30000;&#2717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0000;&#27178;B1-3&#65289;-4.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0000;&#27178;C1-3&#65289;-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0000;&#27178;D1-4&#65289;-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30000;&#27178;D5-7&#65289;-4.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30000;&#27178;E1-6&#65289;-4.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30000;&#27178;E7-12&#65289;-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t="str">
            <v>商业</v>
          </cell>
          <cell r="D77" t="str">
            <v>中低价位、中小套型普通商品住房用地</v>
          </cell>
          <cell r="E77" t="str">
            <v>住宅、商业</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efreshError="1"/>
      <sheetData sheetId="20" refreshError="1"/>
      <sheetData sheetId="21" refreshError="1"/>
      <sheetData sheetId="22" refreshError="1"/>
      <sheetData sheetId="23">
        <row r="72">
          <cell r="B72" t="str">
            <v>用途</v>
          </cell>
        </row>
        <row r="101">
          <cell r="B101" t="str">
            <v>土地级别</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9">
          <cell r="B99" t="str">
            <v>毗邻道路的类型与等级</v>
          </cell>
        </row>
        <row r="112">
          <cell r="B112" t="str">
            <v>宗地形状</v>
          </cell>
        </row>
        <row r="114">
          <cell r="B114" t="str">
            <v>宗地开发程度</v>
          </cell>
        </row>
        <row r="116">
          <cell r="B116"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189709</v>
          </cell>
          <cell r="C14">
            <v>158092</v>
          </cell>
          <cell r="D14">
            <v>37638</v>
          </cell>
          <cell r="G14">
            <v>37638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303892</v>
          </cell>
          <cell r="C14">
            <v>202595</v>
          </cell>
          <cell r="D14">
            <v>57758</v>
          </cell>
          <cell r="G14">
            <v>57758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391834</v>
          </cell>
          <cell r="C14">
            <v>217686</v>
          </cell>
          <cell r="D14">
            <v>75807</v>
          </cell>
          <cell r="G14">
            <v>75807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220857</v>
          </cell>
          <cell r="C14">
            <v>184048</v>
          </cell>
          <cell r="D14">
            <v>46631</v>
          </cell>
          <cell r="G14">
            <v>46631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678725</v>
          </cell>
          <cell r="C14">
            <v>377071</v>
          </cell>
          <cell r="D14">
            <v>131297</v>
          </cell>
          <cell r="G14">
            <v>131297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451711</v>
          </cell>
          <cell r="C14">
            <v>376428</v>
          </cell>
          <cell r="D14">
            <v>95367</v>
          </cell>
          <cell r="G14">
            <v>95367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37',22);" TargetMode="External"/><Relationship Id="rId1" Type="http://schemas.openxmlformats.org/officeDocument/2006/relationships/hyperlink" Target="javascript:top.main.DataEdit('37',22);"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sohu.com/a/113060387_363313" TargetMode="External"/><Relationship Id="rId2" Type="http://schemas.openxmlformats.org/officeDocument/2006/relationships/hyperlink" Target="https://m.leju.com/news-qd-6160616967016607123.html" TargetMode="External"/><Relationship Id="rId1" Type="http://schemas.openxmlformats.org/officeDocument/2006/relationships/hyperlink" Target="https://qd.house.qq.com/a/20161122/024646.htm" TargetMode="External"/><Relationship Id="rId4"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山东省青岛市即墨区田横度假区滨海公路共29宗住宅、商业用地出让国有建设用地使用权抵押价格预评估</v>
      </c>
      <c r="AX2" s="2850"/>
      <c r="AZ2" s="2850"/>
      <c r="BA2" s="2851"/>
      <c r="BC2" s="2851"/>
    </row>
    <row r="3" spans="1:55" s="2852" customFormat="1">
      <c r="A3" s="2831" t="s">
        <v>2659</v>
      </c>
      <c r="B3" s="2834" t="str">
        <f>'预评函-封皮'!B40</f>
        <v>中信信托有限责任公司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受贵公司委托，我公司对山东省青岛市即墨区田横度假区滨海公路共29宗住宅、商业用地出让国有建设用地使用权抵押价格进行了预评估。</v>
      </c>
      <c r="AM6" s="2856"/>
    </row>
    <row r="7" spans="1:55" s="2830" customFormat="1">
      <c r="A7" s="2831" t="s">
        <v>2655</v>
      </c>
      <c r="B7" s="2832" t="str">
        <f>'预评函-1'!A6</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2019年4月10日（评估专业人员勘察现场之日）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本次评估设定用途即为证载用途住宅、商业。</v>
      </c>
    </row>
    <row r="13" spans="1:55" s="2830" customFormat="1">
      <c r="A13" s="2831" t="s">
        <v>2665</v>
      </c>
      <c r="B13" s="2832" t="str">
        <f>'预评函-1'!A17</f>
        <v>根据委托估价方介绍及评估专业人员现场勘查，本次评估估价对象实际土地开发程度为红线外市政基础设施达“七通”（即通路、通电、通上水、、、、）、宗地红线内场地未平整，现状宗地用作水产养殖场。</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根据《国有土地使用证》[]，估价对象（分摊）出让国有建设用地使用权面积为259503平方米。根据《建设工程规划许可证》[]、《出让合同》[]，估价对象规划建筑面积为311402平方米。</v>
      </c>
    </row>
    <row r="16" spans="1:55" s="2830" customFormat="1">
      <c r="A16" s="2831" t="s">
        <v>2667</v>
      </c>
      <c r="B16" s="2832" t="str">
        <f>'预评函-1'!A22</f>
        <v>本次估价对象为出让国有建设用地使用权，《国有土地使用证》[]证载土地终止日期为住宅2083年9月23日、商业2053年9月23日。截至估价期日，出让国有建设用地使用权剩余土地使用年限为住宅64.4年、商业34.4年。</v>
      </c>
    </row>
    <row r="17" spans="1:48" s="2830" customFormat="1">
      <c r="A17" s="2831" t="s">
        <v>2668</v>
      </c>
      <c r="B17" s="2832" t="str">
        <f>'预评函-1'!A23</f>
        <v>本次评估设定估价对象剩余土地使用年限为住宅64.4年、商业34.4年。</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估价期日：2019年4月10日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t="str">
        <f>'预评函-2'!G5</f>
        <v>住宅、商业</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红线外七通、宗地红线内场地未平整</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t="str">
        <f>'预评函-2'!M5</f>
        <v>住宅64.4年、商业34.4年</v>
      </c>
    </row>
    <row r="42" spans="1:2">
      <c r="A42" s="2831" t="s">
        <v>2737</v>
      </c>
      <c r="B42" s="2832" t="str">
        <f>'预评函-2'!N3</f>
        <v>（分摊）出让国有建设用地使用权面积/㎡</v>
      </c>
    </row>
    <row r="43" spans="1:2">
      <c r="A43" s="2831" t="s">
        <v>2719</v>
      </c>
      <c r="B43" s="2832">
        <f>'预评函-2'!N5</f>
        <v>259503</v>
      </c>
    </row>
    <row r="44" spans="1:2">
      <c r="A44" s="2831" t="s">
        <v>2738</v>
      </c>
      <c r="B44" s="2832" t="str">
        <f>'预评函-2'!O3</f>
        <v>规划建筑面积/㎡</v>
      </c>
    </row>
    <row r="45" spans="1:2">
      <c r="A45" s="2831" t="s">
        <v>2720</v>
      </c>
      <c r="B45" s="2832">
        <f>'预评函-2'!O5</f>
        <v>311402</v>
      </c>
    </row>
    <row r="46" spans="1:2">
      <c r="A46" s="2831" t="s">
        <v>2721</v>
      </c>
      <c r="B46" s="2832">
        <f ca="1">'预评函-2'!P5</f>
        <v>2118</v>
      </c>
    </row>
    <row r="47" spans="1:2">
      <c r="A47" s="2831" t="s">
        <v>2722</v>
      </c>
      <c r="B47" s="2832">
        <f ca="1">'预评函-2'!Q5</f>
        <v>1765</v>
      </c>
    </row>
    <row r="48" spans="1:2">
      <c r="A48" s="2831" t="s">
        <v>2723</v>
      </c>
      <c r="B48" s="2832">
        <f ca="1">'预评函-2'!R5</f>
        <v>54950</v>
      </c>
    </row>
    <row r="49" spans="1:2">
      <c r="A49" s="2831" t="s">
        <v>2739</v>
      </c>
      <c r="B49" s="2832" t="str">
        <f>'预评函-2'!A6</f>
        <v>抵押价格</v>
      </c>
    </row>
    <row r="50" spans="1:2">
      <c r="A50" s="2831" t="s">
        <v>2724</v>
      </c>
      <c r="B50" s="2832">
        <f ca="1">'预评函-2'!R6</f>
        <v>54950</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2.基础设施条件：估价对象实际开发程度为红线外七通、宗地红线内场地未平整；本次评估设定开发程度为红线外七通、宗地红线内场地平整。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1937</v>
      </c>
      <c r="B1" s="3276" t="str">
        <f>IF(B10="北京市","北京市",C10)&amp;F10&amp;B16&amp;"国有建设用地使用权"&amp;B9&amp;"预评估"</f>
        <v>山东省青岛市即墨区田横度假区滨海公路共29宗住宅、商业用地出让国有建设用地使用权抵押价格预评估</v>
      </c>
      <c r="C1" s="3277"/>
      <c r="D1" s="3277"/>
      <c r="E1" s="3277"/>
      <c r="F1" s="3277"/>
      <c r="G1" s="3277"/>
      <c r="H1" s="3277"/>
      <c r="I1" s="3278"/>
      <c r="J1" s="1676"/>
      <c r="K1" s="2417" t="str">
        <f>IF(B10="北京市","北京市",C10)&amp;F10&amp;B16&amp;"国有建设用地使用权"&amp;B9</f>
        <v>山东省青岛市即墨区田横度假区滨海公路共29宗住宅、商业用地出让国有建设用地使用权抵押价格</v>
      </c>
      <c r="L1" s="1705"/>
      <c r="M1" s="1705"/>
      <c r="N1" s="1676"/>
      <c r="O1" s="1677"/>
      <c r="P1" s="1676"/>
      <c r="Q1" s="1676"/>
      <c r="R1" s="1676"/>
      <c r="S1" s="1676"/>
      <c r="T1" s="1676"/>
      <c r="U1" s="1676"/>
    </row>
    <row r="2" spans="1:21">
      <c r="A2" s="1643" t="s">
        <v>1938</v>
      </c>
      <c r="B2" s="1824"/>
      <c r="D2" s="1676"/>
      <c r="E2" s="1676"/>
      <c r="F2" s="1676"/>
      <c r="G2" s="1676"/>
      <c r="H2" s="1643"/>
      <c r="I2" s="1677"/>
      <c r="J2" s="1676"/>
      <c r="K2" s="2417" t="str">
        <f>IF(B10="北京市","北京市",C10)&amp;F10&amp;B16&amp;"国有建设用地使用权"</f>
        <v>山东省青岛市即墨区田横度假区滨海公路共29宗住宅、商业用地出让国有建设用地使用权</v>
      </c>
      <c r="L2" s="1705"/>
      <c r="M2" s="1705"/>
      <c r="N2" s="1676"/>
      <c r="O2" s="1677"/>
      <c r="P2" s="1676"/>
      <c r="Q2" s="1676"/>
      <c r="R2" s="1676"/>
      <c r="S2" s="1676"/>
      <c r="T2" s="1676"/>
      <c r="U2" s="1676"/>
    </row>
    <row r="3" spans="1:21">
      <c r="A3" s="1644" t="s">
        <v>1939</v>
      </c>
      <c r="B3" s="1645">
        <v>43565</v>
      </c>
      <c r="C3" s="1646" t="s">
        <v>1995</v>
      </c>
      <c r="D3" s="1645">
        <f>B3</f>
        <v>43565</v>
      </c>
      <c r="E3" s="1676"/>
      <c r="F3" s="1676"/>
      <c r="G3" s="1676"/>
      <c r="H3" s="1643"/>
      <c r="I3" s="1677"/>
      <c r="J3" s="1676"/>
      <c r="K3" s="1756"/>
      <c r="L3" s="1705"/>
      <c r="M3" s="1705"/>
      <c r="N3" s="1676"/>
      <c r="O3" s="1677"/>
      <c r="P3" s="1676"/>
      <c r="Q3" s="1676"/>
      <c r="R3" s="1676"/>
      <c r="S3" s="1676"/>
      <c r="T3" s="1676"/>
      <c r="U3" s="1676"/>
    </row>
    <row r="4" spans="1:21" ht="15" thickBot="1">
      <c r="A4" s="1647" t="s">
        <v>1940</v>
      </c>
      <c r="B4" s="1825" t="s">
        <v>2993</v>
      </c>
      <c r="C4" s="1828">
        <f ca="1">SUMIF(土地估价师,B4,估价师及机构信息!E3:E24)</f>
        <v>2002110030</v>
      </c>
      <c r="D4" s="1825" t="s">
        <v>2994</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8" t="s">
        <v>1941</v>
      </c>
      <c r="B5" s="1771" t="str">
        <f>B6</f>
        <v>中信信托有限责任公司</v>
      </c>
      <c r="C5" s="1649"/>
      <c r="D5" s="1650"/>
      <c r="E5" s="1676"/>
      <c r="F5" s="1676"/>
      <c r="G5" s="1676"/>
      <c r="H5" s="1643"/>
      <c r="I5" s="1677"/>
      <c r="J5" s="1676"/>
      <c r="K5" s="1756"/>
      <c r="L5" s="1705"/>
      <c r="M5" s="1705"/>
      <c r="N5" s="1676"/>
      <c r="O5" s="1677"/>
      <c r="P5" s="1676"/>
      <c r="Q5" s="1676"/>
      <c r="R5" s="1676"/>
      <c r="S5" s="1676"/>
      <c r="T5" s="1676"/>
      <c r="U5" s="1676"/>
    </row>
    <row r="6" spans="1:21" ht="26.25">
      <c r="A6" s="1646" t="s">
        <v>2704</v>
      </c>
      <c r="B6" s="1771" t="s">
        <v>2995</v>
      </c>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2705</v>
      </c>
      <c r="B7" s="1771" t="str">
        <f>C11</f>
        <v>青岛金港蓝湾商业发展有限公司、青岛美域星海置业有限公司、青岛怡和万盛置业有限公司</v>
      </c>
      <c r="C7" s="1743"/>
      <c r="D7" s="1651"/>
      <c r="E7" s="1676"/>
      <c r="F7" s="1676"/>
      <c r="G7" s="1676"/>
      <c r="H7" s="1643"/>
      <c r="I7" s="1677"/>
      <c r="J7" s="1676"/>
      <c r="K7" s="1756"/>
      <c r="L7" s="1705"/>
      <c r="M7" s="1705"/>
      <c r="N7" s="1676"/>
      <c r="O7" s="1677"/>
      <c r="P7" s="1676"/>
      <c r="Q7" s="1676"/>
      <c r="R7" s="1676"/>
      <c r="S7" s="1676"/>
      <c r="T7" s="1676"/>
      <c r="U7" s="1676"/>
    </row>
    <row r="8" spans="1:21">
      <c r="A8" s="1652" t="s">
        <v>1942</v>
      </c>
      <c r="B8" s="1653" t="s">
        <v>3001</v>
      </c>
      <c r="C8" s="1654"/>
      <c r="D8" s="3282" t="s">
        <v>1944</v>
      </c>
      <c r="E8" s="1826" t="s">
        <v>3000</v>
      </c>
      <c r="F8" s="1655"/>
      <c r="G8" s="1643"/>
      <c r="H8" s="1643"/>
      <c r="I8" s="1689"/>
      <c r="J8" s="1676"/>
      <c r="K8" s="1756"/>
      <c r="L8" s="1705"/>
      <c r="M8" s="1705"/>
      <c r="N8" s="1676"/>
      <c r="O8" s="1677"/>
      <c r="P8" s="1676"/>
      <c r="Q8" s="1676"/>
      <c r="R8" s="1676"/>
      <c r="S8" s="1676"/>
      <c r="T8" s="1676"/>
      <c r="U8" s="1676"/>
    </row>
    <row r="9" spans="1:21" ht="15" thickBot="1">
      <c r="A9" s="1656" t="s">
        <v>1943</v>
      </c>
      <c r="B9" s="1657" t="s">
        <v>3000</v>
      </c>
      <c r="C9" s="1658"/>
      <c r="D9" s="3283"/>
      <c r="E9" s="1657"/>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9" t="s">
        <v>3603</v>
      </c>
      <c r="D10" s="1650"/>
      <c r="E10" s="1660" t="s">
        <v>1946</v>
      </c>
      <c r="F10" s="1661" t="s">
        <v>3604</v>
      </c>
      <c r="G10" s="1727"/>
      <c r="H10" s="1728"/>
      <c r="I10" s="1650"/>
      <c r="J10" s="1676"/>
      <c r="K10" s="1756"/>
      <c r="L10" s="1705"/>
      <c r="M10" s="1705"/>
      <c r="N10" s="1676"/>
      <c r="O10" s="1677"/>
      <c r="P10" s="1676"/>
      <c r="Q10" s="1676"/>
      <c r="R10" s="1676"/>
      <c r="S10" s="1676"/>
      <c r="T10" s="1676"/>
      <c r="U10" s="1676"/>
    </row>
    <row r="11" spans="1:21">
      <c r="A11" s="1679" t="s">
        <v>2000</v>
      </c>
      <c r="B11" s="1680" t="s">
        <v>2999</v>
      </c>
      <c r="C11" s="3231" t="s">
        <v>3605</v>
      </c>
      <c r="D11" s="1744"/>
      <c r="E11" s="1643"/>
      <c r="F11" s="1643"/>
      <c r="G11" s="1643"/>
      <c r="H11" s="1643"/>
      <c r="I11" s="1643"/>
      <c r="J11" s="1676"/>
      <c r="K11" s="1756"/>
      <c r="L11" s="1705"/>
      <c r="M11" s="1705"/>
      <c r="N11" s="1676"/>
      <c r="O11" s="1677"/>
      <c r="P11" s="1676"/>
      <c r="Q11" s="1676"/>
      <c r="R11" s="1676"/>
      <c r="S11" s="1676"/>
      <c r="T11" s="1676"/>
      <c r="U11" s="1676"/>
    </row>
    <row r="12" spans="1:21">
      <c r="A12" s="1767" t="s">
        <v>2058</v>
      </c>
      <c r="B12" s="3279"/>
      <c r="C12" s="3280"/>
      <c r="D12" s="3281"/>
      <c r="E12" s="1681" t="s">
        <v>2061</v>
      </c>
      <c r="F12" s="3297" t="s">
        <v>2887</v>
      </c>
      <c r="G12" s="3298"/>
      <c r="H12" s="3298"/>
      <c r="I12" s="3299"/>
      <c r="J12" s="1676"/>
      <c r="K12" s="1756"/>
      <c r="L12" s="1705"/>
      <c r="M12" s="1705"/>
      <c r="N12" s="1676"/>
      <c r="O12" s="1677"/>
      <c r="P12" s="1676"/>
      <c r="Q12" s="1676"/>
      <c r="R12" s="1676"/>
      <c r="S12" s="1676"/>
      <c r="T12" s="1676"/>
      <c r="U12" s="1676"/>
    </row>
    <row r="13" spans="1:21">
      <c r="A13" s="1669" t="s">
        <v>2059</v>
      </c>
      <c r="B13" s="3279" t="s">
        <v>3548</v>
      </c>
      <c r="C13" s="3280"/>
      <c r="D13" s="3281"/>
      <c r="E13" s="1681" t="s">
        <v>2061</v>
      </c>
      <c r="F13" s="3297" t="s">
        <v>2888</v>
      </c>
      <c r="G13" s="3298"/>
      <c r="H13" s="3298"/>
      <c r="I13" s="3299"/>
      <c r="J13" s="1676"/>
      <c r="K13" s="1756"/>
      <c r="L13" s="1705"/>
      <c r="M13" s="1705"/>
      <c r="N13" s="1676"/>
      <c r="O13" s="1677"/>
      <c r="P13" s="1676"/>
      <c r="Q13" s="1676"/>
      <c r="R13" s="1676"/>
      <c r="S13" s="1676"/>
      <c r="T13" s="1676"/>
      <c r="U13" s="1676"/>
    </row>
    <row r="14" spans="1:21">
      <c r="A14" s="1644" t="s">
        <v>2062</v>
      </c>
      <c r="B14" s="1681"/>
      <c r="C14" s="1827" t="s">
        <v>2996</v>
      </c>
      <c r="D14" s="1715" t="str">
        <f>IF(C14="不一致","是否符合证载地类范围","")</f>
        <v/>
      </c>
      <c r="E14" s="1681"/>
      <c r="F14" s="1772" t="s">
        <v>2997</v>
      </c>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t="s">
        <v>3259</v>
      </c>
      <c r="F16" s="1704"/>
      <c r="G16" s="1704"/>
      <c r="H16" s="1704"/>
      <c r="I16" s="1668" t="s">
        <v>1954</v>
      </c>
      <c r="J16" s="1676"/>
      <c r="K16" s="2418" t="str">
        <f>IF(D17="","",D16&amp;TEXT(D17,"yyyy年m月d日;;"))</f>
        <v>住宅2083年9月23日</v>
      </c>
      <c r="L16" s="1681" t="str">
        <f>IF(OR(K16="",M16=""),"","、")</f>
        <v>、</v>
      </c>
      <c r="M16" s="2418" t="str">
        <f>IF(E17="","",E16&amp;TEXT(E17,"yyyy年m月d日;;"))</f>
        <v>商业2053年9月23日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67107</v>
      </c>
      <c r="E17" s="1682">
        <v>56150</v>
      </c>
      <c r="F17" s="1682"/>
      <c r="G17" s="1682"/>
      <c r="H17" s="1682"/>
      <c r="I17" s="1682"/>
      <c r="J17" s="1676"/>
      <c r="K17" s="2417" t="str">
        <f>CONCATENATE(K16,L16,M16,N16,O16,P16,Q16,R16,S16,T16,,U16)</f>
        <v>住宅2083年9月23日、商业2053年9月23日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1957</v>
      </c>
      <c r="D19" s="1740">
        <f>IF(B16="出让",IF(D17="","",ROUNDDOWN(MIN((D17-$D$3)/365,D18),2)),D18)</f>
        <v>64.489999999999995</v>
      </c>
      <c r="E19" s="1667">
        <f>IF(B16="出让",IF(E17="","",ROUNDDOWN(MIN((E17-$D$3)/365,E18),2)),E18)</f>
        <v>34.47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94" t="s">
        <v>3549</v>
      </c>
      <c r="E20" s="3295"/>
      <c r="F20" s="3295"/>
      <c r="G20" s="3295"/>
      <c r="H20" s="3295"/>
      <c r="I20" s="3296"/>
      <c r="J20" s="1676"/>
      <c r="K20" s="1756"/>
      <c r="L20" s="1705"/>
      <c r="M20" s="1705"/>
      <c r="N20" s="1676"/>
      <c r="O20" s="1677"/>
      <c r="P20" s="1676"/>
      <c r="Q20" s="1676"/>
      <c r="R20" s="1676"/>
      <c r="S20" s="1676"/>
      <c r="T20" s="1676"/>
      <c r="U20" s="1676"/>
    </row>
    <row r="21" spans="1:21">
      <c r="A21" s="1745" t="s">
        <v>1958</v>
      </c>
      <c r="B21" s="1746" t="s">
        <v>1959</v>
      </c>
      <c r="C21" s="1741">
        <f>'数据-汇总表'!E3</f>
        <v>311402</v>
      </c>
      <c r="D21" s="1742" t="s">
        <v>1960</v>
      </c>
      <c r="E21" s="3284" t="s">
        <v>1998</v>
      </c>
      <c r="F21" s="3285"/>
      <c r="G21" s="3285"/>
      <c r="H21" s="3285"/>
      <c r="I21" s="3286"/>
      <c r="J21" s="1676"/>
      <c r="K21" s="1756"/>
      <c r="L21" s="1705"/>
      <c r="M21" s="1705"/>
      <c r="N21" s="1676"/>
      <c r="O21" s="1677"/>
      <c r="P21" s="1676"/>
      <c r="Q21" s="1676"/>
      <c r="R21" s="1676"/>
      <c r="S21" s="1676"/>
      <c r="T21" s="1676"/>
      <c r="U21" s="1676"/>
    </row>
    <row r="22" spans="1:21">
      <c r="A22" s="3095" t="s">
        <v>952</v>
      </c>
      <c r="B22" s="1644" t="s">
        <v>1961</v>
      </c>
      <c r="C22" s="1668">
        <f>'数据-汇总表'!D3</f>
        <v>259503</v>
      </c>
      <c r="D22" s="1669" t="s">
        <v>1960</v>
      </c>
      <c r="E22" s="3284" t="s">
        <v>2889</v>
      </c>
      <c r="F22" s="3285"/>
      <c r="G22" s="3285"/>
      <c r="H22" s="3285"/>
      <c r="I22" s="328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87" t="s">
        <v>1966</v>
      </c>
      <c r="C24" s="3288"/>
      <c r="D24" s="3289" t="s">
        <v>1967</v>
      </c>
      <c r="E24" s="3290"/>
      <c r="F24" s="1690" t="s">
        <v>1968</v>
      </c>
      <c r="G24" s="1676"/>
      <c r="H24" s="1676"/>
      <c r="I24" s="1689"/>
      <c r="J24" s="1676"/>
      <c r="K24" s="327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7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3"/>
      <c r="E26" s="1643"/>
      <c r="F26" s="1670"/>
      <c r="G26" s="1676"/>
      <c r="H26" s="1676"/>
      <c r="I26" s="1689"/>
      <c r="J26" s="1676"/>
      <c r="K26" s="327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1" t="s">
        <v>2001</v>
      </c>
      <c r="B31" s="1746" t="s">
        <v>2002</v>
      </c>
      <c r="C31" s="3300"/>
      <c r="D31" s="3301"/>
      <c r="E31" s="1676"/>
      <c r="F31" s="1676"/>
      <c r="G31" s="1676"/>
      <c r="H31" s="1676"/>
      <c r="I31" s="1689"/>
      <c r="J31" s="1676"/>
      <c r="K31" s="2420"/>
      <c r="L31" s="1676"/>
      <c r="M31" s="1676"/>
      <c r="N31" s="1676"/>
      <c r="O31" s="1676"/>
      <c r="P31" s="1676"/>
      <c r="Q31" s="1676"/>
      <c r="R31" s="1676"/>
      <c r="S31" s="1676"/>
      <c r="T31" s="1676"/>
      <c r="U31" s="1676"/>
    </row>
    <row r="32" spans="1:21">
      <c r="A32" s="3261"/>
      <c r="B32" s="1644"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1"/>
      <c r="B33" s="1644"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2"/>
      <c r="B34" s="1644" t="s">
        <v>2005</v>
      </c>
      <c r="C34" s="3263"/>
      <c r="D34" s="3264"/>
      <c r="E34" s="1676"/>
      <c r="F34" s="1676"/>
      <c r="G34" s="1676"/>
      <c r="H34" s="1676"/>
      <c r="I34" s="1689"/>
      <c r="J34" s="1676"/>
      <c r="K34" s="2420"/>
      <c r="L34" s="1676"/>
      <c r="M34" s="1676"/>
      <c r="N34" s="1676"/>
      <c r="O34" s="1676"/>
      <c r="P34" s="1676"/>
      <c r="Q34" s="1676"/>
      <c r="R34" s="1676"/>
      <c r="S34" s="1676"/>
      <c r="T34" s="1676"/>
      <c r="U34" s="1676"/>
    </row>
    <row r="35" spans="1:21">
      <c r="A35" s="3265" t="s">
        <v>847</v>
      </c>
      <c r="B35" s="1704" t="s">
        <v>3606</v>
      </c>
      <c r="C35" s="1758" t="str">
        <f>IF(B35="场地平整","——","具体情况：")</f>
        <v>具体情况：</v>
      </c>
      <c r="D35" s="3267" t="s">
        <v>3607</v>
      </c>
      <c r="E35" s="3268"/>
      <c r="F35" s="3268"/>
      <c r="G35" s="3268"/>
      <c r="H35" s="3268"/>
      <c r="I35" s="3269"/>
      <c r="J35" s="1676"/>
      <c r="K35" s="1757"/>
      <c r="L35" s="1705"/>
      <c r="M35" s="1705"/>
      <c r="N35" s="1676"/>
      <c r="O35" s="1677"/>
      <c r="P35" s="1676"/>
      <c r="Q35" s="1676"/>
      <c r="R35" s="1676"/>
      <c r="S35" s="1676"/>
      <c r="T35" s="1676"/>
      <c r="U35" s="1676"/>
    </row>
    <row r="36" spans="1:21" ht="28.5">
      <c r="A36" s="3261"/>
      <c r="B36" s="3270" t="s">
        <v>2054</v>
      </c>
      <c r="C36" s="3271"/>
      <c r="D36" s="1774" t="s">
        <v>3608</v>
      </c>
      <c r="E36" s="3272"/>
      <c r="F36" s="3272"/>
      <c r="G36" s="1669" t="str">
        <f>IF(B35="场地未平整","估价结果处理","")</f>
        <v>估价结果处理</v>
      </c>
      <c r="H36" s="3273"/>
      <c r="I36" s="3273"/>
      <c r="J36" s="1676"/>
      <c r="K36" s="1757"/>
      <c r="L36" s="1705"/>
      <c r="M36" s="1705"/>
      <c r="N36" s="1676"/>
      <c r="O36" s="1677"/>
      <c r="P36" s="1676"/>
      <c r="Q36" s="1676"/>
      <c r="R36" s="1676"/>
      <c r="S36" s="1676"/>
      <c r="T36" s="1676"/>
      <c r="U36" s="1676"/>
    </row>
    <row r="37" spans="1:21" ht="28.5">
      <c r="A37" s="3261"/>
      <c r="B37" s="329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1"/>
      <c r="B38" s="3292"/>
      <c r="C38" s="1652"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62"/>
      <c r="B39" s="329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3609</v>
      </c>
      <c r="C40" s="1672" t="s">
        <v>3610</v>
      </c>
      <c r="D40" s="1672" t="s">
        <v>3611</v>
      </c>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74" t="s">
        <v>1985</v>
      </c>
      <c r="T40" s="1713" t="str">
        <f>NUMBERSTRING(7-K40,1)&amp;"通"</f>
        <v>七通</v>
      </c>
      <c r="U40" s="1676"/>
    </row>
    <row r="41" spans="1:21" ht="28.5">
      <c r="A41" s="1646"/>
      <c r="B41" s="3266" t="s">
        <v>1721</v>
      </c>
      <c r="C41" s="3266"/>
      <c r="D41" s="3266"/>
      <c r="E41" s="3266"/>
      <c r="F41" s="1714" t="str">
        <f>C10</f>
        <v>山东省青岛市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74"/>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地块汇总表!K8</f>
        <v>259503</v>
      </c>
      <c r="B3" s="22">
        <f>IF(C3="否",G5-AT5,G5)</f>
        <v>311402</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311402</v>
      </c>
      <c r="H5" s="27">
        <f t="shared" ref="H5:AT5" si="0">SUM(H13:H641)</f>
        <v>311402</v>
      </c>
      <c r="I5" s="27">
        <f t="shared" si="0"/>
        <v>311402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311402</v>
      </c>
      <c r="BA5" s="29">
        <f t="shared" si="1"/>
        <v>311402</v>
      </c>
      <c r="BB5" s="29">
        <f t="shared" si="1"/>
        <v>311402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3265</v>
      </c>
      <c r="J9" s="51"/>
      <c r="K9" s="2969" t="s">
        <v>3265</v>
      </c>
      <c r="L9" s="51"/>
      <c r="M9" s="2969" t="s">
        <v>3265</v>
      </c>
      <c r="N9" s="51"/>
      <c r="O9" s="59" t="s">
        <v>3265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3259</v>
      </c>
      <c r="J10" s="51"/>
      <c r="K10" s="2971" t="s">
        <v>923</v>
      </c>
      <c r="L10" s="51"/>
      <c r="M10" s="2971" t="s">
        <v>923</v>
      </c>
      <c r="N10" s="51"/>
      <c r="O10" s="66" t="s">
        <v>923</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住宅</v>
      </c>
      <c r="BD11" s="50" t="str">
        <f>M10</f>
        <v>住宅</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259503</v>
      </c>
      <c r="F13" s="81"/>
      <c r="G13" s="82">
        <f t="shared" ref="G13:G20" si="7">H13+AC13+AT13</f>
        <v>311402</v>
      </c>
      <c r="H13" s="33">
        <f t="shared" ref="H13:H20" si="8">SUMIF(I$12:AB$12,"总值",I13:AB13)</f>
        <v>311402</v>
      </c>
      <c r="I13" s="2968">
        <f>地块汇总表!AH8</f>
        <v>311402</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259503</v>
      </c>
      <c r="AZ13" s="27">
        <f t="shared" ref="AZ13:AZ20" si="12">BA13+BL13</f>
        <v>311402</v>
      </c>
      <c r="BA13" s="27">
        <f t="shared" ref="BA13:BA20" si="13">SUM(BB13:BK13)</f>
        <v>311402</v>
      </c>
      <c r="BB13" s="27">
        <f t="shared" ref="BB13:BB20" si="14">IF($D13="是",I13-J13,0)</f>
        <v>311402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J42"/>
  <sheetViews>
    <sheetView zoomScaleNormal="100" workbookViewId="0">
      <pane xSplit="3" ySplit="3" topLeftCell="T25" activePane="bottomRight" state="frozen"/>
      <selection pane="topRight" activeCell="D1" sqref="D1"/>
      <selection pane="bottomLeft" activeCell="A4" sqref="A4"/>
      <selection pane="bottomRight" activeCell="AB33" sqref="AB33:AB38"/>
    </sheetView>
  </sheetViews>
  <sheetFormatPr defaultColWidth="9" defaultRowHeight="14.25"/>
  <cols>
    <col min="1" max="3" width="5.75" style="3221" customWidth="1"/>
    <col min="4" max="4" width="20.375" style="3222" customWidth="1"/>
    <col min="5" max="5" width="13.875" style="3222" customWidth="1"/>
    <col min="6" max="6" width="14.375" style="3222" customWidth="1"/>
    <col min="7" max="7" width="9" style="3222" customWidth="1"/>
    <col min="8" max="8" width="18" style="3223" customWidth="1"/>
    <col min="9" max="9" width="19" style="3222" customWidth="1"/>
    <col min="10" max="10" width="16.875" style="3222" customWidth="1"/>
    <col min="11" max="11" width="14.875" style="3222" customWidth="1"/>
    <col min="12" max="13" width="10.875" style="3222" customWidth="1"/>
    <col min="14" max="17" width="14.75" style="3222" customWidth="1"/>
    <col min="18" max="18" width="15.375" style="3229" customWidth="1"/>
    <col min="19" max="20" width="13.625" style="3229" customWidth="1"/>
    <col min="21" max="21" width="13.875" style="3229" customWidth="1"/>
    <col min="22" max="22" width="11.5" style="3229" customWidth="1"/>
    <col min="23" max="23" width="13" style="3229" customWidth="1"/>
    <col min="24" max="24" width="13.75" style="3229" customWidth="1"/>
    <col min="25" max="27" width="11.25" style="3224" customWidth="1"/>
    <col min="28" max="28" width="18.5" style="3224" customWidth="1"/>
    <col min="29" max="34" width="12" style="3224" customWidth="1"/>
    <col min="35" max="16384" width="9" style="3184"/>
  </cols>
  <sheetData>
    <row r="1" spans="1:34" s="3183" customFormat="1" ht="24.75" customHeight="1">
      <c r="A1" s="3326" t="s">
        <v>3002</v>
      </c>
      <c r="B1" s="3326" t="s">
        <v>3003</v>
      </c>
      <c r="C1" s="3326" t="s">
        <v>3004</v>
      </c>
      <c r="D1" s="3310" t="s">
        <v>3005</v>
      </c>
      <c r="E1" s="3310" t="s">
        <v>3006</v>
      </c>
      <c r="F1" s="3310" t="s">
        <v>3007</v>
      </c>
      <c r="G1" s="3310" t="s">
        <v>3008</v>
      </c>
      <c r="H1" s="3319" t="s">
        <v>3009</v>
      </c>
      <c r="I1" s="3310" t="s">
        <v>3010</v>
      </c>
      <c r="J1" s="3313" t="s">
        <v>3011</v>
      </c>
      <c r="K1" s="3310" t="s">
        <v>3012</v>
      </c>
      <c r="L1" s="3310" t="s">
        <v>3013</v>
      </c>
      <c r="M1" s="3310" t="s">
        <v>3014</v>
      </c>
      <c r="N1" s="3310" t="s">
        <v>3015</v>
      </c>
      <c r="O1" s="3310" t="s">
        <v>3016</v>
      </c>
      <c r="P1" s="3310" t="s">
        <v>3017</v>
      </c>
      <c r="Q1" s="3310" t="s">
        <v>3018</v>
      </c>
      <c r="R1" s="3316" t="s">
        <v>3019</v>
      </c>
      <c r="S1" s="3316" t="s">
        <v>3020</v>
      </c>
      <c r="T1" s="3316" t="s">
        <v>3021</v>
      </c>
      <c r="U1" s="3316" t="s">
        <v>3022</v>
      </c>
      <c r="V1" s="3316" t="s">
        <v>3023</v>
      </c>
      <c r="W1" s="3316" t="s">
        <v>3024</v>
      </c>
      <c r="X1" s="3316" t="s">
        <v>3025</v>
      </c>
      <c r="Y1" s="3304" t="s">
        <v>3026</v>
      </c>
      <c r="Z1" s="3304" t="s">
        <v>3027</v>
      </c>
      <c r="AA1" s="3304" t="s">
        <v>3028</v>
      </c>
      <c r="AB1" s="3304" t="s">
        <v>3029</v>
      </c>
      <c r="AC1" s="3322" t="s">
        <v>3030</v>
      </c>
      <c r="AD1" s="3322"/>
      <c r="AE1" s="3322"/>
      <c r="AF1" s="3322"/>
      <c r="AG1" s="3322"/>
      <c r="AH1" s="3322"/>
    </row>
    <row r="2" spans="1:34" s="3183" customFormat="1" ht="24.75" customHeight="1">
      <c r="A2" s="3327"/>
      <c r="B2" s="3327"/>
      <c r="C2" s="3327"/>
      <c r="D2" s="3311"/>
      <c r="E2" s="3311"/>
      <c r="F2" s="3311"/>
      <c r="G2" s="3311"/>
      <c r="H2" s="3320"/>
      <c r="I2" s="3311"/>
      <c r="J2" s="3314"/>
      <c r="K2" s="3311"/>
      <c r="L2" s="3311"/>
      <c r="M2" s="3311"/>
      <c r="N2" s="3311"/>
      <c r="O2" s="3311"/>
      <c r="P2" s="3311"/>
      <c r="Q2" s="3311"/>
      <c r="R2" s="3317"/>
      <c r="S2" s="3317"/>
      <c r="T2" s="3317"/>
      <c r="U2" s="3317"/>
      <c r="V2" s="3317"/>
      <c r="W2" s="3317"/>
      <c r="X2" s="3317"/>
      <c r="Y2" s="3305"/>
      <c r="Z2" s="3305"/>
      <c r="AA2" s="3305"/>
      <c r="AB2" s="3305"/>
      <c r="AC2" s="3304" t="s">
        <v>3031</v>
      </c>
      <c r="AD2" s="3307" t="s">
        <v>3032</v>
      </c>
      <c r="AE2" s="3308"/>
      <c r="AF2" s="3308"/>
      <c r="AG2" s="3309"/>
      <c r="AH2" s="3304" t="s">
        <v>3033</v>
      </c>
    </row>
    <row r="3" spans="1:34" s="3183" customFormat="1" ht="24.75" customHeight="1">
      <c r="A3" s="3328"/>
      <c r="B3" s="3328"/>
      <c r="C3" s="3328"/>
      <c r="D3" s="3312"/>
      <c r="E3" s="3312"/>
      <c r="F3" s="3312"/>
      <c r="G3" s="3312"/>
      <c r="H3" s="3321"/>
      <c r="I3" s="3312"/>
      <c r="J3" s="3315"/>
      <c r="K3" s="3312"/>
      <c r="L3" s="3312"/>
      <c r="M3" s="3312"/>
      <c r="N3" s="3312"/>
      <c r="O3" s="3312"/>
      <c r="P3" s="3312"/>
      <c r="Q3" s="3312"/>
      <c r="R3" s="3318"/>
      <c r="S3" s="3318"/>
      <c r="T3" s="3318"/>
      <c r="U3" s="3318"/>
      <c r="V3" s="3318"/>
      <c r="W3" s="3318"/>
      <c r="X3" s="3318"/>
      <c r="Y3" s="3306"/>
      <c r="Z3" s="3306"/>
      <c r="AA3" s="3306"/>
      <c r="AB3" s="3306"/>
      <c r="AC3" s="3306"/>
      <c r="AD3" s="3212" t="s">
        <v>3601</v>
      </c>
      <c r="AE3" s="3212" t="s">
        <v>3598</v>
      </c>
      <c r="AF3" s="3212" t="s">
        <v>3599</v>
      </c>
      <c r="AG3" s="3212" t="s">
        <v>3600</v>
      </c>
      <c r="AH3" s="3306"/>
    </row>
    <row r="4" spans="1:34" ht="42" customHeight="1">
      <c r="A4" s="3323">
        <v>1</v>
      </c>
      <c r="B4" s="3213">
        <v>1</v>
      </c>
      <c r="C4" s="3213" t="s">
        <v>3034</v>
      </c>
      <c r="D4" s="3214" t="s">
        <v>3035</v>
      </c>
      <c r="E4" s="3214" t="s">
        <v>3036</v>
      </c>
      <c r="F4" s="3214" t="s">
        <v>3037</v>
      </c>
      <c r="G4" s="3214" t="s">
        <v>3038</v>
      </c>
      <c r="H4" s="3215">
        <v>8200900060945000</v>
      </c>
      <c r="I4" s="3214" t="s">
        <v>3039</v>
      </c>
      <c r="J4" s="3216">
        <v>56150</v>
      </c>
      <c r="K4" s="3214">
        <v>69575</v>
      </c>
      <c r="L4" s="3216">
        <v>41612</v>
      </c>
      <c r="M4" s="3214" t="s">
        <v>3040</v>
      </c>
      <c r="N4" s="3214" t="s">
        <v>3041</v>
      </c>
      <c r="O4" s="3214" t="s">
        <v>3042</v>
      </c>
      <c r="P4" s="3214" t="s">
        <v>3043</v>
      </c>
      <c r="Q4" s="3214" t="s">
        <v>3044</v>
      </c>
      <c r="R4" s="3227" t="s">
        <v>3045</v>
      </c>
      <c r="S4" s="3227" t="s">
        <v>3040</v>
      </c>
      <c r="T4" s="3228">
        <v>41541</v>
      </c>
      <c r="U4" s="3227">
        <v>19035720</v>
      </c>
      <c r="V4" s="3227">
        <v>273.60000000000002</v>
      </c>
      <c r="W4" s="3227">
        <v>3168.4043999999999</v>
      </c>
      <c r="X4" s="3227">
        <f>ROUND((U4+W4*10000)/K4,0)</f>
        <v>729</v>
      </c>
      <c r="Y4" s="3324" t="s">
        <v>3046</v>
      </c>
      <c r="Z4" s="3324" t="s">
        <v>3047</v>
      </c>
      <c r="AA4" s="3325">
        <v>1</v>
      </c>
      <c r="AB4" s="3324" t="s">
        <v>3048</v>
      </c>
      <c r="AC4" s="3217">
        <v>83490</v>
      </c>
      <c r="AD4" s="3217">
        <v>0</v>
      </c>
      <c r="AE4" s="3217">
        <v>0</v>
      </c>
      <c r="AF4" s="3217">
        <v>0</v>
      </c>
      <c r="AG4" s="3217">
        <v>0</v>
      </c>
      <c r="AH4" s="3217">
        <f>AC4</f>
        <v>83490</v>
      </c>
    </row>
    <row r="5" spans="1:34" ht="42" customHeight="1">
      <c r="A5" s="3323"/>
      <c r="B5" s="3213">
        <v>2</v>
      </c>
      <c r="C5" s="3213" t="s">
        <v>938</v>
      </c>
      <c r="D5" s="3214" t="s">
        <v>3049</v>
      </c>
      <c r="E5" s="3214" t="s">
        <v>3050</v>
      </c>
      <c r="F5" s="3214" t="s">
        <v>3051</v>
      </c>
      <c r="G5" s="3214" t="s">
        <v>3052</v>
      </c>
      <c r="H5" s="3215">
        <v>8200900060946000</v>
      </c>
      <c r="I5" s="3214" t="s">
        <v>3053</v>
      </c>
      <c r="J5" s="3216">
        <v>56150</v>
      </c>
      <c r="K5" s="3214">
        <v>53080</v>
      </c>
      <c r="L5" s="3216">
        <v>41612</v>
      </c>
      <c r="M5" s="3214" t="s">
        <v>3054</v>
      </c>
      <c r="N5" s="3214" t="s">
        <v>3055</v>
      </c>
      <c r="O5" s="3214" t="s">
        <v>3056</v>
      </c>
      <c r="P5" s="3214" t="s">
        <v>3055</v>
      </c>
      <c r="Q5" s="3214" t="s">
        <v>3057</v>
      </c>
      <c r="R5" s="3227" t="s">
        <v>3058</v>
      </c>
      <c r="S5" s="3227" t="s">
        <v>3054</v>
      </c>
      <c r="T5" s="3228">
        <v>41541</v>
      </c>
      <c r="U5" s="3227">
        <v>14522688</v>
      </c>
      <c r="V5" s="3227">
        <v>273.60000000000002</v>
      </c>
      <c r="W5" s="3227">
        <v>2417.2318</v>
      </c>
      <c r="X5" s="3227">
        <f>ROUND((U5+W5*10000)/K5,0)</f>
        <v>729</v>
      </c>
      <c r="Y5" s="3324"/>
      <c r="Z5" s="3324"/>
      <c r="AA5" s="3324"/>
      <c r="AB5" s="3324"/>
      <c r="AC5" s="3217">
        <v>63696</v>
      </c>
      <c r="AD5" s="3217">
        <v>0</v>
      </c>
      <c r="AE5" s="3217">
        <v>0</v>
      </c>
      <c r="AF5" s="3217">
        <v>0</v>
      </c>
      <c r="AG5" s="3217">
        <v>0</v>
      </c>
      <c r="AH5" s="3217">
        <f t="shared" ref="AH5:AH7" si="0">AC5</f>
        <v>63696</v>
      </c>
    </row>
    <row r="6" spans="1:34" ht="42" customHeight="1">
      <c r="A6" s="3323"/>
      <c r="B6" s="3213">
        <v>3</v>
      </c>
      <c r="C6" s="3213" t="s">
        <v>941</v>
      </c>
      <c r="D6" s="3214" t="s">
        <v>3059</v>
      </c>
      <c r="E6" s="3214" t="s">
        <v>3036</v>
      </c>
      <c r="F6" s="3214" t="s">
        <v>3060</v>
      </c>
      <c r="G6" s="3214" t="s">
        <v>3038</v>
      </c>
      <c r="H6" s="3215">
        <v>8200900060947000</v>
      </c>
      <c r="I6" s="3214" t="s">
        <v>3039</v>
      </c>
      <c r="J6" s="3216">
        <v>56150</v>
      </c>
      <c r="K6" s="3214">
        <v>67609</v>
      </c>
      <c r="L6" s="3216">
        <v>41612</v>
      </c>
      <c r="M6" s="3214" t="s">
        <v>3061</v>
      </c>
      <c r="N6" s="3214" t="s">
        <v>3041</v>
      </c>
      <c r="O6" s="3214" t="s">
        <v>3042</v>
      </c>
      <c r="P6" s="3214" t="s">
        <v>3041</v>
      </c>
      <c r="Q6" s="3214" t="s">
        <v>3044</v>
      </c>
      <c r="R6" s="3227" t="s">
        <v>3062</v>
      </c>
      <c r="S6" s="3227" t="s">
        <v>3061</v>
      </c>
      <c r="T6" s="3228">
        <v>41541</v>
      </c>
      <c r="U6" s="3227">
        <v>18497640</v>
      </c>
      <c r="V6" s="3227">
        <v>273.58999999999997</v>
      </c>
      <c r="W6" s="3227">
        <v>3078.8739</v>
      </c>
      <c r="X6" s="3227">
        <f>ROUND((U6+W6*10000)/K6,0)</f>
        <v>729</v>
      </c>
      <c r="Y6" s="3324"/>
      <c r="Z6" s="3324"/>
      <c r="AA6" s="3324"/>
      <c r="AB6" s="3324"/>
      <c r="AC6" s="3217">
        <v>81130</v>
      </c>
      <c r="AD6" s="3217">
        <v>0</v>
      </c>
      <c r="AE6" s="3217">
        <v>0</v>
      </c>
      <c r="AF6" s="3217">
        <v>0</v>
      </c>
      <c r="AG6" s="3217">
        <v>0</v>
      </c>
      <c r="AH6" s="3217">
        <f t="shared" si="0"/>
        <v>81130</v>
      </c>
    </row>
    <row r="7" spans="1:34" ht="42" customHeight="1">
      <c r="A7" s="3323"/>
      <c r="B7" s="3213">
        <v>4</v>
      </c>
      <c r="C7" s="3213" t="s">
        <v>944</v>
      </c>
      <c r="D7" s="3214" t="s">
        <v>3063</v>
      </c>
      <c r="E7" s="3214" t="s">
        <v>3036</v>
      </c>
      <c r="F7" s="3214" t="s">
        <v>3064</v>
      </c>
      <c r="G7" s="3214" t="s">
        <v>3038</v>
      </c>
      <c r="H7" s="3215">
        <v>8200900060948000</v>
      </c>
      <c r="I7" s="3214" t="s">
        <v>3065</v>
      </c>
      <c r="J7" s="3216">
        <v>56150</v>
      </c>
      <c r="K7" s="3214">
        <v>69239</v>
      </c>
      <c r="L7" s="3214" t="s">
        <v>3066</v>
      </c>
      <c r="M7" s="3214" t="s">
        <v>3067</v>
      </c>
      <c r="N7" s="3214" t="s">
        <v>3068</v>
      </c>
      <c r="O7" s="3214" t="s">
        <v>3042</v>
      </c>
      <c r="P7" s="3214" t="s">
        <v>3042</v>
      </c>
      <c r="Q7" s="3214" t="s">
        <v>3069</v>
      </c>
      <c r="R7" s="3227" t="s">
        <v>3070</v>
      </c>
      <c r="S7" s="3227" t="s">
        <v>3067</v>
      </c>
      <c r="T7" s="3228">
        <v>41541</v>
      </c>
      <c r="U7" s="3227">
        <v>18943608</v>
      </c>
      <c r="V7" s="3227">
        <v>273.58999999999997</v>
      </c>
      <c r="W7" s="3227">
        <v>3153.1032</v>
      </c>
      <c r="X7" s="3227">
        <f>ROUND((U7+W7*10000)/K7,0)</f>
        <v>729</v>
      </c>
      <c r="Y7" s="3324"/>
      <c r="Z7" s="3324"/>
      <c r="AA7" s="3324"/>
      <c r="AB7" s="3324"/>
      <c r="AC7" s="3217">
        <v>83086</v>
      </c>
      <c r="AD7" s="3217">
        <v>0</v>
      </c>
      <c r="AE7" s="3217">
        <v>0</v>
      </c>
      <c r="AF7" s="3217">
        <v>0</v>
      </c>
      <c r="AG7" s="3217">
        <v>0</v>
      </c>
      <c r="AH7" s="3217">
        <f t="shared" si="0"/>
        <v>83086</v>
      </c>
    </row>
    <row r="8" spans="1:34" s="3185" customFormat="1" ht="30" customHeight="1">
      <c r="A8" s="3218"/>
      <c r="B8" s="3218" t="s">
        <v>3071</v>
      </c>
      <c r="C8" s="3218"/>
      <c r="D8" s="3218"/>
      <c r="E8" s="3218"/>
      <c r="F8" s="3218"/>
      <c r="G8" s="3218"/>
      <c r="H8" s="3219"/>
      <c r="I8" s="3218"/>
      <c r="J8" s="3220"/>
      <c r="K8" s="3218">
        <f>SUM(K4:K7)</f>
        <v>259503</v>
      </c>
      <c r="L8" s="3218"/>
      <c r="M8" s="3218"/>
      <c r="N8" s="3218"/>
      <c r="O8" s="3218"/>
      <c r="P8" s="3218"/>
      <c r="Q8" s="3218"/>
      <c r="R8" s="3218"/>
      <c r="S8" s="3218"/>
      <c r="T8" s="3218"/>
      <c r="U8" s="3218">
        <f t="shared" ref="U8:AH8" si="1">SUM(U4:U7)</f>
        <v>70999656</v>
      </c>
      <c r="V8" s="3218"/>
      <c r="W8" s="3218">
        <f t="shared" si="1"/>
        <v>11817.613299999999</v>
      </c>
      <c r="X8" s="3218"/>
      <c r="Y8" s="3218"/>
      <c r="Z8" s="3218"/>
      <c r="AA8" s="3218"/>
      <c r="AB8" s="3218"/>
      <c r="AC8" s="3218">
        <f t="shared" si="1"/>
        <v>311402</v>
      </c>
      <c r="AD8" s="3218">
        <f t="shared" si="1"/>
        <v>0</v>
      </c>
      <c r="AE8" s="3218">
        <f t="shared" si="1"/>
        <v>0</v>
      </c>
      <c r="AF8" s="3218">
        <f t="shared" si="1"/>
        <v>0</v>
      </c>
      <c r="AG8" s="3218">
        <f t="shared" si="1"/>
        <v>0</v>
      </c>
      <c r="AH8" s="3218">
        <f t="shared" si="1"/>
        <v>311402</v>
      </c>
    </row>
    <row r="9" spans="1:34" ht="42" customHeight="1">
      <c r="A9" s="3323">
        <v>2</v>
      </c>
      <c r="B9" s="3213">
        <v>5</v>
      </c>
      <c r="C9" s="3213" t="s">
        <v>3072</v>
      </c>
      <c r="D9" s="3214" t="s">
        <v>3073</v>
      </c>
      <c r="E9" s="3214" t="s">
        <v>3074</v>
      </c>
      <c r="F9" s="3214" t="s">
        <v>3075</v>
      </c>
      <c r="G9" s="3214" t="s">
        <v>3038</v>
      </c>
      <c r="H9" s="3215">
        <v>8200900060999000</v>
      </c>
      <c r="I9" s="3214" t="s">
        <v>3076</v>
      </c>
      <c r="J9" s="3216" t="s">
        <v>3077</v>
      </c>
      <c r="K9" s="3214">
        <v>50383</v>
      </c>
      <c r="L9" s="3214" t="s">
        <v>3066</v>
      </c>
      <c r="M9" s="3214" t="s">
        <v>3078</v>
      </c>
      <c r="N9" s="3214" t="s">
        <v>3068</v>
      </c>
      <c r="O9" s="3214" t="s">
        <v>3044</v>
      </c>
      <c r="P9" s="3214" t="s">
        <v>3044</v>
      </c>
      <c r="Q9" s="3214" t="s">
        <v>3079</v>
      </c>
      <c r="R9" s="3227" t="s">
        <v>3080</v>
      </c>
      <c r="S9" s="3227" t="s">
        <v>3081</v>
      </c>
      <c r="T9" s="3228">
        <v>41541</v>
      </c>
      <c r="U9" s="3227">
        <v>13603275</v>
      </c>
      <c r="V9" s="3227">
        <v>270</v>
      </c>
      <c r="W9" s="3227">
        <v>2294.4121</v>
      </c>
      <c r="X9" s="3227">
        <f>ROUND((U9+W9*10000)/K9,0)</f>
        <v>725</v>
      </c>
      <c r="Y9" s="3324" t="s">
        <v>3082</v>
      </c>
      <c r="Z9" s="3324" t="s">
        <v>3083</v>
      </c>
      <c r="AA9" s="3324" t="s">
        <v>3084</v>
      </c>
      <c r="AB9" s="3324" t="s">
        <v>3085</v>
      </c>
      <c r="AC9" s="3217">
        <v>60459</v>
      </c>
      <c r="AD9" s="3217">
        <f>ROUND(AC9*(1-$AA$12),0)</f>
        <v>30230</v>
      </c>
      <c r="AE9" s="3217">
        <f>AD9-AG9</f>
        <v>9069</v>
      </c>
      <c r="AF9" s="3217">
        <v>0</v>
      </c>
      <c r="AG9" s="3217">
        <f>ROUND(AD9*0.7,0)</f>
        <v>21161</v>
      </c>
      <c r="AH9" s="3217">
        <f>AC9-AD9</f>
        <v>30229</v>
      </c>
    </row>
    <row r="10" spans="1:34" ht="42" customHeight="1">
      <c r="A10" s="3323"/>
      <c r="B10" s="3213">
        <v>6</v>
      </c>
      <c r="C10" s="3213" t="s">
        <v>3086</v>
      </c>
      <c r="D10" s="3214" t="s">
        <v>3087</v>
      </c>
      <c r="E10" s="3214" t="s">
        <v>3074</v>
      </c>
      <c r="F10" s="3214" t="s">
        <v>3088</v>
      </c>
      <c r="G10" s="3214" t="s">
        <v>3038</v>
      </c>
      <c r="H10" s="3215">
        <v>8200900060950000</v>
      </c>
      <c r="I10" s="3214" t="s">
        <v>3076</v>
      </c>
      <c r="J10" s="3216" t="s">
        <v>3077</v>
      </c>
      <c r="K10" s="3214">
        <v>45536</v>
      </c>
      <c r="L10" s="3214" t="s">
        <v>3066</v>
      </c>
      <c r="M10" s="3214" t="s">
        <v>3089</v>
      </c>
      <c r="N10" s="3214" t="s">
        <v>3068</v>
      </c>
      <c r="O10" s="3214" t="s">
        <v>3044</v>
      </c>
      <c r="P10" s="3214" t="s">
        <v>3044</v>
      </c>
      <c r="Q10" s="3214" t="s">
        <v>3044</v>
      </c>
      <c r="R10" s="3227" t="s">
        <v>3090</v>
      </c>
      <c r="S10" s="3227" t="s">
        <v>3091</v>
      </c>
      <c r="T10" s="3228">
        <v>41541</v>
      </c>
      <c r="U10" s="3227">
        <v>12294675</v>
      </c>
      <c r="V10" s="3227">
        <v>269.99</v>
      </c>
      <c r="W10" s="3227">
        <v>2073.6824999999999</v>
      </c>
      <c r="X10" s="3227">
        <f>ROUND((U10+W10*10000)/K10,0)</f>
        <v>725</v>
      </c>
      <c r="Y10" s="3324"/>
      <c r="Z10" s="3324"/>
      <c r="AA10" s="3324"/>
      <c r="AB10" s="3324"/>
      <c r="AC10" s="3217">
        <v>54643</v>
      </c>
      <c r="AD10" s="3217">
        <f t="shared" ref="AD10:AD11" si="2">ROUND(AC10*(1-$AA$12),0)</f>
        <v>27322</v>
      </c>
      <c r="AE10" s="3217">
        <f t="shared" ref="AE10:AE11" si="3">AD10-AG10</f>
        <v>8197</v>
      </c>
      <c r="AF10" s="3217">
        <v>0</v>
      </c>
      <c r="AG10" s="3217">
        <f t="shared" ref="AG10:AG11" si="4">ROUND(AD10*0.7,0)</f>
        <v>19125</v>
      </c>
      <c r="AH10" s="3217">
        <f t="shared" ref="AH10:AH11" si="5">AC10-AD10</f>
        <v>27321</v>
      </c>
    </row>
    <row r="11" spans="1:34" ht="42" customHeight="1">
      <c r="A11" s="3323"/>
      <c r="B11" s="3213">
        <v>7</v>
      </c>
      <c r="C11" s="3213" t="s">
        <v>3092</v>
      </c>
      <c r="D11" s="3214" t="s">
        <v>3093</v>
      </c>
      <c r="E11" s="3214" t="s">
        <v>3094</v>
      </c>
      <c r="F11" s="3214" t="s">
        <v>3095</v>
      </c>
      <c r="G11" s="3214" t="s">
        <v>3096</v>
      </c>
      <c r="H11" s="3215">
        <v>8200900060951000</v>
      </c>
      <c r="I11" s="3214" t="s">
        <v>3097</v>
      </c>
      <c r="J11" s="3216" t="s">
        <v>3098</v>
      </c>
      <c r="K11" s="3214">
        <v>62173</v>
      </c>
      <c r="L11" s="3214" t="s">
        <v>3099</v>
      </c>
      <c r="M11" s="3214" t="s">
        <v>3100</v>
      </c>
      <c r="N11" s="3214" t="s">
        <v>3101</v>
      </c>
      <c r="O11" s="3214" t="s">
        <v>3102</v>
      </c>
      <c r="P11" s="3214" t="s">
        <v>3103</v>
      </c>
      <c r="Q11" s="3214" t="s">
        <v>3103</v>
      </c>
      <c r="R11" s="3227" t="s">
        <v>3104</v>
      </c>
      <c r="S11" s="3227" t="s">
        <v>3100</v>
      </c>
      <c r="T11" s="3228">
        <v>41541</v>
      </c>
      <c r="U11" s="3227">
        <v>16786575</v>
      </c>
      <c r="V11" s="3227">
        <v>269.99</v>
      </c>
      <c r="W11" s="3227">
        <v>2831.3217</v>
      </c>
      <c r="X11" s="3227">
        <f>ROUND((U11+W11*10000)/K11,0)</f>
        <v>725</v>
      </c>
      <c r="Y11" s="3324"/>
      <c r="Z11" s="3324"/>
      <c r="AA11" s="3324"/>
      <c r="AB11" s="3324"/>
      <c r="AC11" s="3217">
        <v>74607</v>
      </c>
      <c r="AD11" s="3217">
        <f t="shared" si="2"/>
        <v>37304</v>
      </c>
      <c r="AE11" s="3217">
        <f t="shared" si="3"/>
        <v>11191</v>
      </c>
      <c r="AF11" s="3217">
        <v>0</v>
      </c>
      <c r="AG11" s="3217">
        <f t="shared" si="4"/>
        <v>26113</v>
      </c>
      <c r="AH11" s="3217">
        <f t="shared" si="5"/>
        <v>37303</v>
      </c>
    </row>
    <row r="12" spans="1:34" s="3185" customFormat="1" ht="30" customHeight="1">
      <c r="A12" s="3218"/>
      <c r="B12" s="3218" t="s">
        <v>3105</v>
      </c>
      <c r="C12" s="3218"/>
      <c r="D12" s="3218"/>
      <c r="E12" s="3218"/>
      <c r="F12" s="3218"/>
      <c r="G12" s="3218"/>
      <c r="H12" s="3219"/>
      <c r="I12" s="3218"/>
      <c r="J12" s="3220"/>
      <c r="K12" s="3218">
        <f>SUM(K9:K11)</f>
        <v>158092</v>
      </c>
      <c r="L12" s="3218"/>
      <c r="M12" s="3218"/>
      <c r="N12" s="3218"/>
      <c r="O12" s="3218"/>
      <c r="P12" s="3218"/>
      <c r="Q12" s="3218"/>
      <c r="R12" s="3218"/>
      <c r="S12" s="3218"/>
      <c r="T12" s="3218"/>
      <c r="U12" s="3218">
        <f t="shared" ref="U12:AH12" si="6">SUM(U9:U11)</f>
        <v>42684525</v>
      </c>
      <c r="V12" s="3218"/>
      <c r="W12" s="3218">
        <f t="shared" si="6"/>
        <v>7199.4163000000008</v>
      </c>
      <c r="X12" s="3218"/>
      <c r="Y12" s="3218"/>
      <c r="Z12" s="3218"/>
      <c r="AA12" s="3218">
        <v>0.5</v>
      </c>
      <c r="AB12" s="3218"/>
      <c r="AC12" s="3218">
        <f t="shared" si="6"/>
        <v>189709</v>
      </c>
      <c r="AD12" s="3218">
        <f t="shared" si="6"/>
        <v>94856</v>
      </c>
      <c r="AE12" s="3218">
        <f t="shared" si="6"/>
        <v>28457</v>
      </c>
      <c r="AF12" s="3218">
        <f t="shared" si="6"/>
        <v>0</v>
      </c>
      <c r="AG12" s="3218">
        <f t="shared" si="6"/>
        <v>66399</v>
      </c>
      <c r="AH12" s="3218">
        <f t="shared" si="6"/>
        <v>94853</v>
      </c>
    </row>
    <row r="13" spans="1:34" ht="42" customHeight="1">
      <c r="A13" s="3323">
        <v>3</v>
      </c>
      <c r="B13" s="3213">
        <v>8</v>
      </c>
      <c r="C13" s="3213" t="s">
        <v>3106</v>
      </c>
      <c r="D13" s="3214" t="s">
        <v>3107</v>
      </c>
      <c r="E13" s="3214" t="s">
        <v>3108</v>
      </c>
      <c r="F13" s="3214" t="s">
        <v>3109</v>
      </c>
      <c r="G13" s="3214" t="s">
        <v>3096</v>
      </c>
      <c r="H13" s="3215">
        <v>8200900060952000</v>
      </c>
      <c r="I13" s="3214" t="s">
        <v>3097</v>
      </c>
      <c r="J13" s="3216" t="s">
        <v>3098</v>
      </c>
      <c r="K13" s="3214">
        <v>69610</v>
      </c>
      <c r="L13" s="3214" t="s">
        <v>3099</v>
      </c>
      <c r="M13" s="3214" t="s">
        <v>3110</v>
      </c>
      <c r="N13" s="3214" t="s">
        <v>3101</v>
      </c>
      <c r="O13" s="3214" t="s">
        <v>3111</v>
      </c>
      <c r="P13" s="3214" t="s">
        <v>3111</v>
      </c>
      <c r="Q13" s="3214" t="s">
        <v>3102</v>
      </c>
      <c r="R13" s="3227" t="s">
        <v>3112</v>
      </c>
      <c r="S13" s="3227" t="s">
        <v>3110</v>
      </c>
      <c r="T13" s="3228">
        <v>41541</v>
      </c>
      <c r="U13" s="3227">
        <v>24641940</v>
      </c>
      <c r="V13" s="3227">
        <v>354</v>
      </c>
      <c r="W13" s="3227">
        <v>3169.9983000000002</v>
      </c>
      <c r="X13" s="3227">
        <f>ROUND((U13+W13*10000)/K13,0)</f>
        <v>809</v>
      </c>
      <c r="Y13" s="3324" t="s">
        <v>3113</v>
      </c>
      <c r="Z13" s="3324" t="s">
        <v>3114</v>
      </c>
      <c r="AA13" s="3324" t="s">
        <v>3595</v>
      </c>
      <c r="AB13" s="3324" t="s">
        <v>3115</v>
      </c>
      <c r="AC13" s="3217">
        <v>104415</v>
      </c>
      <c r="AD13" s="3217">
        <f>ROUND(AC13*(1-$AA$16),0)</f>
        <v>52208</v>
      </c>
      <c r="AE13" s="3217">
        <v>0</v>
      </c>
      <c r="AF13" s="3217">
        <f>AD13-AG13</f>
        <v>15662</v>
      </c>
      <c r="AG13" s="3217">
        <f>ROUND(AD13*0.7,0)</f>
        <v>36546</v>
      </c>
      <c r="AH13" s="3217">
        <f>AC13-AD13</f>
        <v>52207</v>
      </c>
    </row>
    <row r="14" spans="1:34" ht="42" customHeight="1">
      <c r="A14" s="3323"/>
      <c r="B14" s="3213">
        <v>9</v>
      </c>
      <c r="C14" s="3213" t="s">
        <v>3116</v>
      </c>
      <c r="D14" s="3214" t="s">
        <v>3117</v>
      </c>
      <c r="E14" s="3214" t="s">
        <v>3108</v>
      </c>
      <c r="F14" s="3214" t="s">
        <v>3118</v>
      </c>
      <c r="G14" s="3214" t="s">
        <v>3096</v>
      </c>
      <c r="H14" s="3215">
        <v>8200900060953000</v>
      </c>
      <c r="I14" s="3214" t="s">
        <v>3097</v>
      </c>
      <c r="J14" s="3216" t="s">
        <v>3098</v>
      </c>
      <c r="K14" s="3214">
        <v>65687</v>
      </c>
      <c r="L14" s="3214" t="s">
        <v>3099</v>
      </c>
      <c r="M14" s="3214" t="s">
        <v>3119</v>
      </c>
      <c r="N14" s="3214" t="s">
        <v>3101</v>
      </c>
      <c r="O14" s="3214" t="s">
        <v>3111</v>
      </c>
      <c r="P14" s="3214" t="s">
        <v>3111</v>
      </c>
      <c r="Q14" s="3214" t="s">
        <v>3111</v>
      </c>
      <c r="R14" s="3227" t="s">
        <v>3120</v>
      </c>
      <c r="S14" s="3227" t="s">
        <v>3119</v>
      </c>
      <c r="T14" s="3228">
        <v>41541</v>
      </c>
      <c r="U14" s="3227">
        <v>23253080</v>
      </c>
      <c r="V14" s="3227">
        <v>353.99</v>
      </c>
      <c r="W14" s="3227">
        <v>2991.3472000000002</v>
      </c>
      <c r="X14" s="3227">
        <f>ROUND((U14+W14*10000)/K14,0)</f>
        <v>809</v>
      </c>
      <c r="Y14" s="3324"/>
      <c r="Z14" s="3324"/>
      <c r="AA14" s="3324"/>
      <c r="AB14" s="3324"/>
      <c r="AC14" s="3217">
        <v>98530</v>
      </c>
      <c r="AD14" s="3217">
        <f t="shared" ref="AD14:AD15" si="7">ROUND(AC14*(1-$AA$16),0)</f>
        <v>49265</v>
      </c>
      <c r="AE14" s="3217">
        <v>0</v>
      </c>
      <c r="AF14" s="3217">
        <f t="shared" ref="AF14:AF15" si="8">AD14-AG14</f>
        <v>14779</v>
      </c>
      <c r="AG14" s="3217">
        <f t="shared" ref="AG14:AG15" si="9">ROUND(AD14*0.7,0)</f>
        <v>34486</v>
      </c>
      <c r="AH14" s="3217">
        <f t="shared" ref="AH14:AH15" si="10">AC14-AD14</f>
        <v>49265</v>
      </c>
    </row>
    <row r="15" spans="1:34" ht="42" customHeight="1">
      <c r="A15" s="3323"/>
      <c r="B15" s="3213">
        <v>10</v>
      </c>
      <c r="C15" s="3213" t="s">
        <v>3121</v>
      </c>
      <c r="D15" s="3214" t="s">
        <v>3122</v>
      </c>
      <c r="E15" s="3214" t="s">
        <v>3108</v>
      </c>
      <c r="F15" s="3214" t="s">
        <v>3123</v>
      </c>
      <c r="G15" s="3214" t="s">
        <v>3096</v>
      </c>
      <c r="H15" s="3215">
        <v>8200900060954000</v>
      </c>
      <c r="I15" s="3214" t="s">
        <v>3097</v>
      </c>
      <c r="J15" s="3216" t="s">
        <v>3098</v>
      </c>
      <c r="K15" s="3214">
        <v>67298</v>
      </c>
      <c r="L15" s="3214" t="s">
        <v>3099</v>
      </c>
      <c r="M15" s="3214" t="s">
        <v>3124</v>
      </c>
      <c r="N15" s="3214" t="s">
        <v>3101</v>
      </c>
      <c r="O15" s="3214" t="s">
        <v>3125</v>
      </c>
      <c r="P15" s="3214" t="s">
        <v>3111</v>
      </c>
      <c r="Q15" s="3214" t="s">
        <v>3111</v>
      </c>
      <c r="R15" s="3227" t="s">
        <v>3126</v>
      </c>
      <c r="S15" s="3227" t="s">
        <v>3124</v>
      </c>
      <c r="T15" s="3228">
        <v>41541</v>
      </c>
      <c r="U15" s="3227">
        <v>23823492</v>
      </c>
      <c r="V15" s="3227">
        <v>354</v>
      </c>
      <c r="W15" s="3227">
        <v>3064.7112000000002</v>
      </c>
      <c r="X15" s="3227">
        <f>ROUND((U15+W15*10000)/K15,0)</f>
        <v>809</v>
      </c>
      <c r="Y15" s="3324"/>
      <c r="Z15" s="3324"/>
      <c r="AA15" s="3324"/>
      <c r="AB15" s="3324"/>
      <c r="AC15" s="3217">
        <v>100947</v>
      </c>
      <c r="AD15" s="3217">
        <f t="shared" si="7"/>
        <v>50474</v>
      </c>
      <c r="AE15" s="3217">
        <v>0</v>
      </c>
      <c r="AF15" s="3217">
        <f t="shared" si="8"/>
        <v>15142</v>
      </c>
      <c r="AG15" s="3217">
        <f t="shared" si="9"/>
        <v>35332</v>
      </c>
      <c r="AH15" s="3217">
        <f t="shared" si="10"/>
        <v>50473</v>
      </c>
    </row>
    <row r="16" spans="1:34" s="3185" customFormat="1" ht="30" customHeight="1">
      <c r="A16" s="3218"/>
      <c r="B16" s="3218" t="s">
        <v>3105</v>
      </c>
      <c r="C16" s="3218"/>
      <c r="D16" s="3218"/>
      <c r="E16" s="3218"/>
      <c r="F16" s="3218"/>
      <c r="G16" s="3218"/>
      <c r="H16" s="3219"/>
      <c r="I16" s="3218"/>
      <c r="J16" s="3220"/>
      <c r="K16" s="3218">
        <f>SUM(K13:K15)</f>
        <v>202595</v>
      </c>
      <c r="L16" s="3218"/>
      <c r="M16" s="3218"/>
      <c r="N16" s="3218"/>
      <c r="O16" s="3218"/>
      <c r="P16" s="3218"/>
      <c r="Q16" s="3218"/>
      <c r="R16" s="3218"/>
      <c r="S16" s="3218"/>
      <c r="T16" s="3218"/>
      <c r="U16" s="3218">
        <f t="shared" ref="U16:W16" si="11">SUM(U13:U15)</f>
        <v>71718512</v>
      </c>
      <c r="V16" s="3218"/>
      <c r="W16" s="3218">
        <f t="shared" si="11"/>
        <v>9226.056700000001</v>
      </c>
      <c r="X16" s="3218"/>
      <c r="Y16" s="3218"/>
      <c r="Z16" s="3218"/>
      <c r="AA16" s="3218">
        <v>0.5</v>
      </c>
      <c r="AB16" s="3218"/>
      <c r="AC16" s="3218">
        <f>SUM(AC13:AC15)</f>
        <v>303892</v>
      </c>
      <c r="AD16" s="3218">
        <f t="shared" ref="AD16:AH16" si="12">SUM(AD13:AD15)</f>
        <v>151947</v>
      </c>
      <c r="AE16" s="3218">
        <f t="shared" si="12"/>
        <v>0</v>
      </c>
      <c r="AF16" s="3218">
        <f t="shared" si="12"/>
        <v>45583</v>
      </c>
      <c r="AG16" s="3218">
        <f t="shared" si="12"/>
        <v>106364</v>
      </c>
      <c r="AH16" s="3218">
        <f t="shared" si="12"/>
        <v>151945</v>
      </c>
    </row>
    <row r="17" spans="1:34" ht="37.5" customHeight="1">
      <c r="A17" s="3323">
        <v>4</v>
      </c>
      <c r="B17" s="3213">
        <v>11</v>
      </c>
      <c r="C17" s="3213" t="s">
        <v>3127</v>
      </c>
      <c r="D17" s="3214" t="s">
        <v>3128</v>
      </c>
      <c r="E17" s="3214" t="s">
        <v>3094</v>
      </c>
      <c r="F17" s="3214" t="s">
        <v>3129</v>
      </c>
      <c r="G17" s="3214" t="s">
        <v>3096</v>
      </c>
      <c r="H17" s="3215">
        <v>8200900060955000</v>
      </c>
      <c r="I17" s="3214" t="s">
        <v>3130</v>
      </c>
      <c r="J17" s="3216" t="s">
        <v>3098</v>
      </c>
      <c r="K17" s="3214">
        <v>41828</v>
      </c>
      <c r="L17" s="3216">
        <v>41618</v>
      </c>
      <c r="M17" s="3214" t="s">
        <v>3131</v>
      </c>
      <c r="N17" s="3214" t="s">
        <v>3103</v>
      </c>
      <c r="O17" s="3214" t="s">
        <v>3102</v>
      </c>
      <c r="P17" s="3214" t="s">
        <v>3132</v>
      </c>
      <c r="Q17" s="3214" t="s">
        <v>3133</v>
      </c>
      <c r="R17" s="3227" t="s">
        <v>3134</v>
      </c>
      <c r="S17" s="3227" t="s">
        <v>3135</v>
      </c>
      <c r="T17" s="3228">
        <v>41541</v>
      </c>
      <c r="U17" s="3227">
        <v>16413220</v>
      </c>
      <c r="V17" s="3227">
        <v>392.39</v>
      </c>
      <c r="W17" s="3227">
        <v>1904.8224</v>
      </c>
      <c r="X17" s="3227">
        <f>ROUND((U17+W17*10000)/K17,0)</f>
        <v>848</v>
      </c>
      <c r="Y17" s="3324" t="s">
        <v>3136</v>
      </c>
      <c r="Z17" s="3329" t="s">
        <v>3114</v>
      </c>
      <c r="AA17" s="3329" t="s">
        <v>3596</v>
      </c>
      <c r="AB17" s="3329" t="s">
        <v>3115</v>
      </c>
      <c r="AC17" s="3217">
        <v>75290</v>
      </c>
      <c r="AD17" s="3217">
        <f>ROUND(AC17*(1-$AA$21),0)</f>
        <v>60232</v>
      </c>
      <c r="AE17" s="3217">
        <v>0</v>
      </c>
      <c r="AF17" s="3217">
        <v>0</v>
      </c>
      <c r="AG17" s="3217">
        <f>AD17</f>
        <v>60232</v>
      </c>
      <c r="AH17" s="3217">
        <f>AC17-AD17</f>
        <v>15058</v>
      </c>
    </row>
    <row r="18" spans="1:34" ht="42" customHeight="1">
      <c r="A18" s="3323"/>
      <c r="B18" s="3213">
        <v>12</v>
      </c>
      <c r="C18" s="3213" t="s">
        <v>3137</v>
      </c>
      <c r="D18" s="3214" t="s">
        <v>3138</v>
      </c>
      <c r="E18" s="3214" t="s">
        <v>3094</v>
      </c>
      <c r="F18" s="3214" t="s">
        <v>3139</v>
      </c>
      <c r="G18" s="3214" t="s">
        <v>3096</v>
      </c>
      <c r="H18" s="3215">
        <v>8200900060956000</v>
      </c>
      <c r="I18" s="3214" t="s">
        <v>3097</v>
      </c>
      <c r="J18" s="3216" t="s">
        <v>3098</v>
      </c>
      <c r="K18" s="3214">
        <v>62850</v>
      </c>
      <c r="L18" s="3216" t="s">
        <v>3099</v>
      </c>
      <c r="M18" s="3214" t="s">
        <v>3140</v>
      </c>
      <c r="N18" s="3214" t="s">
        <v>3103</v>
      </c>
      <c r="O18" s="3214" t="s">
        <v>3141</v>
      </c>
      <c r="P18" s="3214" t="s">
        <v>3103</v>
      </c>
      <c r="Q18" s="3214" t="s">
        <v>3142</v>
      </c>
      <c r="R18" s="3227" t="s">
        <v>3143</v>
      </c>
      <c r="S18" s="3227" t="s">
        <v>3144</v>
      </c>
      <c r="T18" s="3228">
        <v>41541</v>
      </c>
      <c r="U18" s="3227">
        <v>24662340</v>
      </c>
      <c r="V18" s="3227">
        <v>392.4</v>
      </c>
      <c r="W18" s="3227">
        <v>2862.1518999999998</v>
      </c>
      <c r="X18" s="3227">
        <f>ROUND((U18+W18*10000)/K18,0)</f>
        <v>848</v>
      </c>
      <c r="Y18" s="3324"/>
      <c r="Z18" s="3330"/>
      <c r="AA18" s="3330"/>
      <c r="AB18" s="3330"/>
      <c r="AC18" s="3217">
        <v>113130</v>
      </c>
      <c r="AD18" s="3217">
        <f t="shared" ref="AD18:AD20" si="13">ROUND(AC18*(1-$AA$21),0)</f>
        <v>90504</v>
      </c>
      <c r="AE18" s="3217">
        <v>0</v>
      </c>
      <c r="AF18" s="3217">
        <v>0</v>
      </c>
      <c r="AG18" s="3217">
        <f t="shared" ref="AG18:AG20" si="14">AD18</f>
        <v>90504</v>
      </c>
      <c r="AH18" s="3217">
        <f t="shared" ref="AH18:AH20" si="15">AC18-AD18</f>
        <v>22626</v>
      </c>
    </row>
    <row r="19" spans="1:34" ht="42" customHeight="1">
      <c r="A19" s="3323"/>
      <c r="B19" s="3213">
        <v>13</v>
      </c>
      <c r="C19" s="3213" t="s">
        <v>3145</v>
      </c>
      <c r="D19" s="3214" t="s">
        <v>3146</v>
      </c>
      <c r="E19" s="3214" t="s">
        <v>3094</v>
      </c>
      <c r="F19" s="3214" t="s">
        <v>3147</v>
      </c>
      <c r="G19" s="3214" t="s">
        <v>3096</v>
      </c>
      <c r="H19" s="3215">
        <v>8200900060957000</v>
      </c>
      <c r="I19" s="3214" t="s">
        <v>3130</v>
      </c>
      <c r="J19" s="3216" t="s">
        <v>3098</v>
      </c>
      <c r="K19" s="3214">
        <v>46259</v>
      </c>
      <c r="L19" s="3216">
        <v>41618</v>
      </c>
      <c r="M19" s="3214" t="s">
        <v>3148</v>
      </c>
      <c r="N19" s="3214" t="s">
        <v>3103</v>
      </c>
      <c r="O19" s="3214" t="s">
        <v>3103</v>
      </c>
      <c r="P19" s="3214" t="s">
        <v>3103</v>
      </c>
      <c r="Q19" s="3214" t="s">
        <v>3142</v>
      </c>
      <c r="R19" s="3227" t="s">
        <v>3149</v>
      </c>
      <c r="S19" s="3227" t="s">
        <v>3148</v>
      </c>
      <c r="T19" s="3228">
        <v>41541</v>
      </c>
      <c r="U19" s="3227">
        <v>18151988</v>
      </c>
      <c r="V19" s="3227">
        <v>392.39</v>
      </c>
      <c r="W19" s="3227">
        <v>2106.6075000000001</v>
      </c>
      <c r="X19" s="3227">
        <f>ROUND((U19+W19*10000)/K19,0)</f>
        <v>848</v>
      </c>
      <c r="Y19" s="3324"/>
      <c r="Z19" s="3330"/>
      <c r="AA19" s="3330"/>
      <c r="AB19" s="3330"/>
      <c r="AC19" s="3217">
        <v>83266</v>
      </c>
      <c r="AD19" s="3217">
        <f t="shared" si="13"/>
        <v>66613</v>
      </c>
      <c r="AE19" s="3217">
        <v>0</v>
      </c>
      <c r="AF19" s="3217">
        <v>0</v>
      </c>
      <c r="AG19" s="3217">
        <f t="shared" si="14"/>
        <v>66613</v>
      </c>
      <c r="AH19" s="3217">
        <f t="shared" si="15"/>
        <v>16653</v>
      </c>
    </row>
    <row r="20" spans="1:34" ht="42" customHeight="1">
      <c r="A20" s="3323"/>
      <c r="B20" s="3213">
        <v>14</v>
      </c>
      <c r="C20" s="3213" t="s">
        <v>3150</v>
      </c>
      <c r="D20" s="3214" t="s">
        <v>3151</v>
      </c>
      <c r="E20" s="3214" t="s">
        <v>3152</v>
      </c>
      <c r="F20" s="3214" t="s">
        <v>3153</v>
      </c>
      <c r="G20" s="3214" t="s">
        <v>3154</v>
      </c>
      <c r="H20" s="3215">
        <v>8200900060958000</v>
      </c>
      <c r="I20" s="3214" t="s">
        <v>3155</v>
      </c>
      <c r="J20" s="3216" t="s">
        <v>3156</v>
      </c>
      <c r="K20" s="3214">
        <v>66749</v>
      </c>
      <c r="L20" s="3214" t="s">
        <v>3157</v>
      </c>
      <c r="M20" s="3214" t="s">
        <v>3158</v>
      </c>
      <c r="N20" s="3214" t="s">
        <v>3159</v>
      </c>
      <c r="O20" s="3214" t="s">
        <v>3159</v>
      </c>
      <c r="P20" s="3214" t="s">
        <v>3159</v>
      </c>
      <c r="Q20" s="3214" t="s">
        <v>3160</v>
      </c>
      <c r="R20" s="3227" t="s">
        <v>3161</v>
      </c>
      <c r="S20" s="3227" t="s">
        <v>3158</v>
      </c>
      <c r="T20" s="3228">
        <v>41541</v>
      </c>
      <c r="U20" s="3227">
        <v>26192264</v>
      </c>
      <c r="V20" s="3227">
        <v>392.39</v>
      </c>
      <c r="W20" s="3227">
        <v>3039.71</v>
      </c>
      <c r="X20" s="3227">
        <f>ROUND((U20+W20*10000)/K20,0)</f>
        <v>848</v>
      </c>
      <c r="Y20" s="3324"/>
      <c r="Z20" s="3331"/>
      <c r="AA20" s="3331"/>
      <c r="AB20" s="3331"/>
      <c r="AC20" s="3217">
        <v>120148</v>
      </c>
      <c r="AD20" s="3217">
        <f t="shared" si="13"/>
        <v>96118</v>
      </c>
      <c r="AE20" s="3217">
        <v>0</v>
      </c>
      <c r="AF20" s="3217">
        <v>0</v>
      </c>
      <c r="AG20" s="3217">
        <f t="shared" si="14"/>
        <v>96118</v>
      </c>
      <c r="AH20" s="3217">
        <f t="shared" si="15"/>
        <v>24030</v>
      </c>
    </row>
    <row r="21" spans="1:34" s="3185" customFormat="1" ht="30" customHeight="1">
      <c r="A21" s="3218"/>
      <c r="B21" s="3218" t="s">
        <v>3162</v>
      </c>
      <c r="C21" s="3218"/>
      <c r="D21" s="3218"/>
      <c r="E21" s="3218"/>
      <c r="F21" s="3218"/>
      <c r="G21" s="3218"/>
      <c r="H21" s="3219"/>
      <c r="I21" s="3218"/>
      <c r="J21" s="3220"/>
      <c r="K21" s="3218">
        <f>SUM(K17:K20)</f>
        <v>217686</v>
      </c>
      <c r="L21" s="3218"/>
      <c r="M21" s="3218"/>
      <c r="N21" s="3218"/>
      <c r="O21" s="3218"/>
      <c r="P21" s="3218"/>
      <c r="Q21" s="3218"/>
      <c r="R21" s="3218"/>
      <c r="S21" s="3218"/>
      <c r="T21" s="3218"/>
      <c r="U21" s="3218">
        <f t="shared" ref="U21:W21" si="16">SUM(U18:U20)</f>
        <v>69006592</v>
      </c>
      <c r="V21" s="3218"/>
      <c r="W21" s="3218">
        <f t="shared" si="16"/>
        <v>8008.4694</v>
      </c>
      <c r="X21" s="3218"/>
      <c r="Y21" s="3218"/>
      <c r="Z21" s="3218"/>
      <c r="AA21" s="3218">
        <v>0.2</v>
      </c>
      <c r="AB21" s="3218"/>
      <c r="AC21" s="3218">
        <f>SUM(AC17:AC20)</f>
        <v>391834</v>
      </c>
      <c r="AD21" s="3218">
        <f t="shared" ref="AD21:AH21" si="17">SUM(AD17:AD20)</f>
        <v>313467</v>
      </c>
      <c r="AE21" s="3218">
        <f t="shared" si="17"/>
        <v>0</v>
      </c>
      <c r="AF21" s="3218">
        <f t="shared" si="17"/>
        <v>0</v>
      </c>
      <c r="AG21" s="3218">
        <f t="shared" si="17"/>
        <v>313467</v>
      </c>
      <c r="AH21" s="3218">
        <f t="shared" si="17"/>
        <v>78367</v>
      </c>
    </row>
    <row r="22" spans="1:34" ht="42" customHeight="1">
      <c r="A22" s="3323">
        <v>5</v>
      </c>
      <c r="B22" s="3213">
        <v>15</v>
      </c>
      <c r="C22" s="3213" t="s">
        <v>3163</v>
      </c>
      <c r="D22" s="3214" t="s">
        <v>3164</v>
      </c>
      <c r="E22" s="3214" t="s">
        <v>3152</v>
      </c>
      <c r="F22" s="3214" t="s">
        <v>3165</v>
      </c>
      <c r="G22" s="3214" t="s">
        <v>3154</v>
      </c>
      <c r="H22" s="3215">
        <v>8200900060959000</v>
      </c>
      <c r="I22" s="3214" t="s">
        <v>3155</v>
      </c>
      <c r="J22" s="3216" t="s">
        <v>3156</v>
      </c>
      <c r="K22" s="3214">
        <v>68298</v>
      </c>
      <c r="L22" s="3214" t="s">
        <v>3157</v>
      </c>
      <c r="M22" s="3214" t="s">
        <v>3166</v>
      </c>
      <c r="N22" s="3214" t="s">
        <v>3159</v>
      </c>
      <c r="O22" s="3214" t="s">
        <v>3167</v>
      </c>
      <c r="P22" s="3214" t="s">
        <v>3159</v>
      </c>
      <c r="Q22" s="3214" t="s">
        <v>3159</v>
      </c>
      <c r="R22" s="3227" t="s">
        <v>3168</v>
      </c>
      <c r="S22" s="3227" t="s">
        <v>3166</v>
      </c>
      <c r="T22" s="3228">
        <v>41541</v>
      </c>
      <c r="U22" s="3227">
        <v>18276411</v>
      </c>
      <c r="V22" s="3227">
        <v>267.58999999999997</v>
      </c>
      <c r="W22" s="3227">
        <v>3110.2505999999998</v>
      </c>
      <c r="X22" s="3227">
        <f>ROUND((U22+W22*10000)/K22,0)</f>
        <v>723</v>
      </c>
      <c r="Y22" s="3324" t="s">
        <v>3169</v>
      </c>
      <c r="Z22" s="3329" t="s">
        <v>3170</v>
      </c>
      <c r="AA22" s="3329" t="s">
        <v>3596</v>
      </c>
      <c r="AB22" s="3329" t="s">
        <v>3171</v>
      </c>
      <c r="AC22" s="3217">
        <v>81957</v>
      </c>
      <c r="AD22" s="3217">
        <f>ROUND(AC22*(1-$AA$25),0)</f>
        <v>65566</v>
      </c>
      <c r="AE22" s="3217">
        <f>AD22-AG22</f>
        <v>19670</v>
      </c>
      <c r="AF22" s="3217">
        <v>0</v>
      </c>
      <c r="AG22" s="3217">
        <f>ROUND(AD22*0.7,0)</f>
        <v>45896</v>
      </c>
      <c r="AH22" s="3217">
        <f>AC22-AD22</f>
        <v>16391</v>
      </c>
    </row>
    <row r="23" spans="1:34" ht="42" customHeight="1">
      <c r="A23" s="3323"/>
      <c r="B23" s="3213">
        <v>16</v>
      </c>
      <c r="C23" s="3213" t="s">
        <v>3172</v>
      </c>
      <c r="D23" s="3214" t="s">
        <v>3173</v>
      </c>
      <c r="E23" s="3214" t="s">
        <v>3152</v>
      </c>
      <c r="F23" s="3214" t="s">
        <v>3174</v>
      </c>
      <c r="G23" s="3214" t="s">
        <v>3154</v>
      </c>
      <c r="H23" s="3215">
        <v>8200900060960000</v>
      </c>
      <c r="I23" s="3214" t="s">
        <v>3155</v>
      </c>
      <c r="J23" s="3216" t="s">
        <v>3156</v>
      </c>
      <c r="K23" s="3214">
        <v>57905</v>
      </c>
      <c r="L23" s="3214" t="s">
        <v>3157</v>
      </c>
      <c r="M23" s="3214" t="s">
        <v>3175</v>
      </c>
      <c r="N23" s="3214" t="s">
        <v>3159</v>
      </c>
      <c r="O23" s="3214" t="s">
        <v>3159</v>
      </c>
      <c r="P23" s="3214" t="s">
        <v>3159</v>
      </c>
      <c r="Q23" s="3214" t="s">
        <v>3159</v>
      </c>
      <c r="R23" s="3227" t="s">
        <v>3176</v>
      </c>
      <c r="S23" s="3227" t="s">
        <v>3175</v>
      </c>
      <c r="T23" s="3228">
        <v>41541</v>
      </c>
      <c r="U23" s="3227">
        <v>15495378</v>
      </c>
      <c r="V23" s="3227">
        <v>267.60000000000002</v>
      </c>
      <c r="W23" s="3227">
        <v>2636.9594999999999</v>
      </c>
      <c r="X23" s="3227">
        <f>ROUND((U23+W23*10000)/K23,0)</f>
        <v>723</v>
      </c>
      <c r="Y23" s="3324"/>
      <c r="Z23" s="3330"/>
      <c r="AA23" s="3330"/>
      <c r="AB23" s="3330"/>
      <c r="AC23" s="3217">
        <v>69486</v>
      </c>
      <c r="AD23" s="3217">
        <f t="shared" ref="AD23:AD24" si="18">ROUND(AC23*(1-$AA$25),0)</f>
        <v>55589</v>
      </c>
      <c r="AE23" s="3217">
        <f t="shared" ref="AE23:AE24" si="19">AD23-AG23</f>
        <v>16677</v>
      </c>
      <c r="AF23" s="3217">
        <v>0</v>
      </c>
      <c r="AG23" s="3217">
        <f t="shared" ref="AG23:AG24" si="20">ROUND(AD23*0.7,0)</f>
        <v>38912</v>
      </c>
      <c r="AH23" s="3217">
        <f t="shared" ref="AH23:AH24" si="21">AC23-AD23</f>
        <v>13897</v>
      </c>
    </row>
    <row r="24" spans="1:34" ht="42" customHeight="1">
      <c r="A24" s="3323"/>
      <c r="B24" s="3213">
        <v>17</v>
      </c>
      <c r="C24" s="3213" t="s">
        <v>3177</v>
      </c>
      <c r="D24" s="3214" t="s">
        <v>3178</v>
      </c>
      <c r="E24" s="3214" t="s">
        <v>3179</v>
      </c>
      <c r="F24" s="3214" t="s">
        <v>3180</v>
      </c>
      <c r="G24" s="3214" t="s">
        <v>3181</v>
      </c>
      <c r="H24" s="3215">
        <v>8200900060961000</v>
      </c>
      <c r="I24" s="3214" t="s">
        <v>3182</v>
      </c>
      <c r="J24" s="3216" t="s">
        <v>3183</v>
      </c>
      <c r="K24" s="3214">
        <v>57845</v>
      </c>
      <c r="L24" s="3214" t="s">
        <v>3184</v>
      </c>
      <c r="M24" s="3214" t="s">
        <v>3185</v>
      </c>
      <c r="N24" s="3214" t="s">
        <v>3186</v>
      </c>
      <c r="O24" s="3214" t="s">
        <v>3187</v>
      </c>
      <c r="P24" s="3214" t="s">
        <v>3186</v>
      </c>
      <c r="Q24" s="3214" t="s">
        <v>3186</v>
      </c>
      <c r="R24" s="3227" t="s">
        <v>3188</v>
      </c>
      <c r="S24" s="3227" t="s">
        <v>3185</v>
      </c>
      <c r="T24" s="3228">
        <v>41541</v>
      </c>
      <c r="U24" s="3227">
        <v>15479322</v>
      </c>
      <c r="V24" s="3227">
        <v>267.60000000000002</v>
      </c>
      <c r="W24" s="3227">
        <v>2634.2271000000001</v>
      </c>
      <c r="X24" s="3227">
        <f>ROUND((U24+W24*10000)/K24,0)</f>
        <v>723</v>
      </c>
      <c r="Y24" s="3324"/>
      <c r="Z24" s="3331"/>
      <c r="AA24" s="3331"/>
      <c r="AB24" s="3331"/>
      <c r="AC24" s="3217">
        <v>69414</v>
      </c>
      <c r="AD24" s="3217">
        <f t="shared" si="18"/>
        <v>55531</v>
      </c>
      <c r="AE24" s="3217">
        <f t="shared" si="19"/>
        <v>16659</v>
      </c>
      <c r="AF24" s="3217">
        <v>0</v>
      </c>
      <c r="AG24" s="3217">
        <f t="shared" si="20"/>
        <v>38872</v>
      </c>
      <c r="AH24" s="3217">
        <f t="shared" si="21"/>
        <v>13883</v>
      </c>
    </row>
    <row r="25" spans="1:34" s="3185" customFormat="1" ht="30" customHeight="1">
      <c r="A25" s="3218"/>
      <c r="B25" s="3218" t="s">
        <v>3189</v>
      </c>
      <c r="C25" s="3218"/>
      <c r="D25" s="3218"/>
      <c r="E25" s="3218"/>
      <c r="F25" s="3218"/>
      <c r="G25" s="3218"/>
      <c r="H25" s="3219"/>
      <c r="I25" s="3218"/>
      <c r="J25" s="3220"/>
      <c r="K25" s="3218">
        <f>SUM(K22:K24)</f>
        <v>184048</v>
      </c>
      <c r="L25" s="3218"/>
      <c r="M25" s="3218"/>
      <c r="N25" s="3218"/>
      <c r="O25" s="3218"/>
      <c r="P25" s="3218"/>
      <c r="Q25" s="3218"/>
      <c r="R25" s="3218"/>
      <c r="S25" s="3218"/>
      <c r="T25" s="3218"/>
      <c r="U25" s="3218">
        <f t="shared" ref="U25:W25" si="22">SUM(U22:U24)</f>
        <v>49251111</v>
      </c>
      <c r="V25" s="3218"/>
      <c r="W25" s="3218">
        <f t="shared" si="22"/>
        <v>8381.4372000000003</v>
      </c>
      <c r="X25" s="3218"/>
      <c r="Y25" s="3218"/>
      <c r="Z25" s="3218"/>
      <c r="AA25" s="3218">
        <v>0.2</v>
      </c>
      <c r="AB25" s="3218"/>
      <c r="AC25" s="3218">
        <f>SUM(AC22:AC24)</f>
        <v>220857</v>
      </c>
      <c r="AD25" s="3218">
        <f t="shared" ref="AD25:AH25" si="23">SUM(AD22:AD24)</f>
        <v>176686</v>
      </c>
      <c r="AE25" s="3218">
        <f t="shared" si="23"/>
        <v>53006</v>
      </c>
      <c r="AF25" s="3218">
        <f t="shared" si="23"/>
        <v>0</v>
      </c>
      <c r="AG25" s="3218">
        <f t="shared" si="23"/>
        <v>123680</v>
      </c>
      <c r="AH25" s="3218">
        <f t="shared" si="23"/>
        <v>44171</v>
      </c>
    </row>
    <row r="26" spans="1:34" ht="42" customHeight="1">
      <c r="A26" s="3323">
        <v>6</v>
      </c>
      <c r="B26" s="3213">
        <v>18</v>
      </c>
      <c r="C26" s="3213" t="s">
        <v>3190</v>
      </c>
      <c r="D26" s="3214" t="s">
        <v>3191</v>
      </c>
      <c r="E26" s="3214" t="s">
        <v>3108</v>
      </c>
      <c r="F26" s="3214" t="s">
        <v>3192</v>
      </c>
      <c r="G26" s="3214" t="s">
        <v>3096</v>
      </c>
      <c r="H26" s="3215">
        <v>8200900060962000</v>
      </c>
      <c r="I26" s="3214" t="s">
        <v>3130</v>
      </c>
      <c r="J26" s="3216" t="s">
        <v>3098</v>
      </c>
      <c r="K26" s="3214">
        <v>69707</v>
      </c>
      <c r="L26" s="3216">
        <v>41603</v>
      </c>
      <c r="M26" s="3214" t="s">
        <v>3193</v>
      </c>
      <c r="N26" s="3214" t="s">
        <v>3111</v>
      </c>
      <c r="O26" s="3214" t="s">
        <v>3111</v>
      </c>
      <c r="P26" s="3214" t="s">
        <v>3132</v>
      </c>
      <c r="Q26" s="3214" t="s">
        <v>3102</v>
      </c>
      <c r="R26" s="3227" t="s">
        <v>3194</v>
      </c>
      <c r="S26" s="3227" t="s">
        <v>3193</v>
      </c>
      <c r="T26" s="3228">
        <v>41541</v>
      </c>
      <c r="U26" s="3227">
        <v>27352896</v>
      </c>
      <c r="V26" s="3227">
        <v>392.39</v>
      </c>
      <c r="W26" s="3227">
        <v>3174.4155999999998</v>
      </c>
      <c r="X26" s="3227">
        <f t="shared" ref="X26:X31" si="24">ROUND((U26+W26*10000)/K26,0)</f>
        <v>848</v>
      </c>
      <c r="Y26" s="3324" t="s">
        <v>3136</v>
      </c>
      <c r="Z26" s="3329" t="s">
        <v>3114</v>
      </c>
      <c r="AA26" s="3329" t="s">
        <v>3596</v>
      </c>
      <c r="AB26" s="3329" t="s">
        <v>3115</v>
      </c>
      <c r="AC26" s="3217">
        <v>125472</v>
      </c>
      <c r="AD26" s="3217">
        <f>ROUND(AC26*(1-$AA$32),0)</f>
        <v>100378</v>
      </c>
      <c r="AE26" s="3217">
        <v>0</v>
      </c>
      <c r="AF26" s="3217">
        <v>0</v>
      </c>
      <c r="AG26" s="3217">
        <f>AD26</f>
        <v>100378</v>
      </c>
      <c r="AH26" s="3217">
        <f>AC26-AD26</f>
        <v>25094</v>
      </c>
    </row>
    <row r="27" spans="1:34" ht="42" customHeight="1">
      <c r="A27" s="3323"/>
      <c r="B27" s="3213">
        <v>19</v>
      </c>
      <c r="C27" s="3213" t="s">
        <v>3195</v>
      </c>
      <c r="D27" s="3214" t="s">
        <v>3196</v>
      </c>
      <c r="E27" s="3214" t="s">
        <v>3108</v>
      </c>
      <c r="F27" s="3214" t="s">
        <v>3197</v>
      </c>
      <c r="G27" s="3214" t="s">
        <v>3096</v>
      </c>
      <c r="H27" s="3215">
        <v>8200900060963000</v>
      </c>
      <c r="I27" s="3214" t="s">
        <v>3130</v>
      </c>
      <c r="J27" s="3216" t="s">
        <v>3098</v>
      </c>
      <c r="K27" s="3214">
        <v>63178</v>
      </c>
      <c r="L27" s="3216">
        <v>41546</v>
      </c>
      <c r="M27" s="3214" t="s">
        <v>3198</v>
      </c>
      <c r="N27" s="3214" t="s">
        <v>3111</v>
      </c>
      <c r="O27" s="3214" t="s">
        <v>3111</v>
      </c>
      <c r="P27" s="3214" t="s">
        <v>3199</v>
      </c>
      <c r="Q27" s="3214" t="s">
        <v>3111</v>
      </c>
      <c r="R27" s="3227" t="s">
        <v>3200</v>
      </c>
      <c r="S27" s="3227" t="s">
        <v>3201</v>
      </c>
      <c r="T27" s="3228">
        <v>41541</v>
      </c>
      <c r="U27" s="3227">
        <v>24790960</v>
      </c>
      <c r="V27" s="3227">
        <v>392.39</v>
      </c>
      <c r="W27" s="3227">
        <v>2877.0888</v>
      </c>
      <c r="X27" s="3227">
        <f t="shared" si="24"/>
        <v>848</v>
      </c>
      <c r="Y27" s="3324"/>
      <c r="Z27" s="3330"/>
      <c r="AA27" s="3330"/>
      <c r="AB27" s="3330"/>
      <c r="AC27" s="3217">
        <v>113720</v>
      </c>
      <c r="AD27" s="3217">
        <f t="shared" ref="AD27:AD31" si="25">ROUND(AC27*(1-$AA$32),0)</f>
        <v>90976</v>
      </c>
      <c r="AE27" s="3217">
        <v>0</v>
      </c>
      <c r="AF27" s="3217">
        <v>0</v>
      </c>
      <c r="AG27" s="3217">
        <f t="shared" ref="AG27:AG31" si="26">AD27</f>
        <v>90976</v>
      </c>
      <c r="AH27" s="3217">
        <f t="shared" ref="AH27:AH31" si="27">AC27-AD27</f>
        <v>22744</v>
      </c>
    </row>
    <row r="28" spans="1:34" ht="42" customHeight="1">
      <c r="A28" s="3323"/>
      <c r="B28" s="3213">
        <v>20</v>
      </c>
      <c r="C28" s="3213" t="s">
        <v>3202</v>
      </c>
      <c r="D28" s="3214" t="s">
        <v>3203</v>
      </c>
      <c r="E28" s="3214" t="s">
        <v>3108</v>
      </c>
      <c r="F28" s="3214" t="s">
        <v>3204</v>
      </c>
      <c r="G28" s="3214" t="s">
        <v>3096</v>
      </c>
      <c r="H28" s="3215">
        <v>8200900060964000</v>
      </c>
      <c r="I28" s="3214" t="s">
        <v>3130</v>
      </c>
      <c r="J28" s="3216" t="s">
        <v>3098</v>
      </c>
      <c r="K28" s="3214">
        <v>66674</v>
      </c>
      <c r="L28" s="3216">
        <v>41546</v>
      </c>
      <c r="M28" s="3214" t="s">
        <v>3205</v>
      </c>
      <c r="N28" s="3214" t="s">
        <v>3111</v>
      </c>
      <c r="O28" s="3214" t="s">
        <v>3111</v>
      </c>
      <c r="P28" s="3214" t="s">
        <v>3125</v>
      </c>
      <c r="Q28" s="3214" t="s">
        <v>3111</v>
      </c>
      <c r="R28" s="3227" t="s">
        <v>3206</v>
      </c>
      <c r="S28" s="3227" t="s">
        <v>3205</v>
      </c>
      <c r="T28" s="3228">
        <v>41541</v>
      </c>
      <c r="U28" s="3227">
        <v>26162834</v>
      </c>
      <c r="V28" s="3227">
        <v>392.39</v>
      </c>
      <c r="W28" s="3227">
        <v>3036.2946000000002</v>
      </c>
      <c r="X28" s="3227">
        <f t="shared" si="24"/>
        <v>848</v>
      </c>
      <c r="Y28" s="3324"/>
      <c r="Z28" s="3330"/>
      <c r="AA28" s="3330"/>
      <c r="AB28" s="3330"/>
      <c r="AC28" s="3217">
        <v>120013</v>
      </c>
      <c r="AD28" s="3217">
        <f t="shared" si="25"/>
        <v>96010</v>
      </c>
      <c r="AE28" s="3217">
        <v>0</v>
      </c>
      <c r="AF28" s="3217">
        <v>0</v>
      </c>
      <c r="AG28" s="3217">
        <f t="shared" si="26"/>
        <v>96010</v>
      </c>
      <c r="AH28" s="3217">
        <f t="shared" si="27"/>
        <v>24003</v>
      </c>
    </row>
    <row r="29" spans="1:34" ht="42" customHeight="1">
      <c r="A29" s="3323"/>
      <c r="B29" s="3213">
        <v>21</v>
      </c>
      <c r="C29" s="3213" t="s">
        <v>3207</v>
      </c>
      <c r="D29" s="3214" t="s">
        <v>3208</v>
      </c>
      <c r="E29" s="3214" t="s">
        <v>3108</v>
      </c>
      <c r="F29" s="3214" t="s">
        <v>3209</v>
      </c>
      <c r="G29" s="3214" t="s">
        <v>3096</v>
      </c>
      <c r="H29" s="3215">
        <v>8200900060965000</v>
      </c>
      <c r="I29" s="3214" t="s">
        <v>3130</v>
      </c>
      <c r="J29" s="3216" t="s">
        <v>3098</v>
      </c>
      <c r="K29" s="3214">
        <v>66444</v>
      </c>
      <c r="L29" s="3216">
        <v>41546</v>
      </c>
      <c r="M29" s="3214" t="s">
        <v>3210</v>
      </c>
      <c r="N29" s="3214" t="s">
        <v>3111</v>
      </c>
      <c r="O29" s="3214" t="s">
        <v>3125</v>
      </c>
      <c r="P29" s="3214" t="s">
        <v>3125</v>
      </c>
      <c r="Q29" s="3214" t="s">
        <v>3111</v>
      </c>
      <c r="R29" s="3227" t="s">
        <v>3211</v>
      </c>
      <c r="S29" s="3227" t="s">
        <v>3210</v>
      </c>
      <c r="T29" s="3228">
        <v>41541</v>
      </c>
      <c r="U29" s="3227">
        <v>26072582</v>
      </c>
      <c r="V29" s="3227">
        <v>392.39</v>
      </c>
      <c r="W29" s="3227">
        <v>3025.8204999999998</v>
      </c>
      <c r="X29" s="3227">
        <f t="shared" si="24"/>
        <v>848</v>
      </c>
      <c r="Y29" s="3324"/>
      <c r="Z29" s="3330"/>
      <c r="AA29" s="3330"/>
      <c r="AB29" s="3330"/>
      <c r="AC29" s="3217">
        <v>119599</v>
      </c>
      <c r="AD29" s="3217">
        <f t="shared" si="25"/>
        <v>95679</v>
      </c>
      <c r="AE29" s="3217">
        <v>0</v>
      </c>
      <c r="AF29" s="3217">
        <v>0</v>
      </c>
      <c r="AG29" s="3217">
        <f t="shared" si="26"/>
        <v>95679</v>
      </c>
      <c r="AH29" s="3217">
        <f t="shared" si="27"/>
        <v>23920</v>
      </c>
    </row>
    <row r="30" spans="1:34" ht="42" customHeight="1">
      <c r="A30" s="3323"/>
      <c r="B30" s="3213">
        <v>22</v>
      </c>
      <c r="C30" s="3213" t="s">
        <v>3212</v>
      </c>
      <c r="D30" s="3214" t="s">
        <v>3213</v>
      </c>
      <c r="E30" s="3214" t="s">
        <v>3108</v>
      </c>
      <c r="F30" s="3214" t="s">
        <v>3214</v>
      </c>
      <c r="G30" s="3214" t="s">
        <v>3096</v>
      </c>
      <c r="H30" s="3215">
        <v>8200900060966000</v>
      </c>
      <c r="I30" s="3214" t="s">
        <v>3130</v>
      </c>
      <c r="J30" s="3216" t="s">
        <v>3098</v>
      </c>
      <c r="K30" s="3214">
        <v>51031</v>
      </c>
      <c r="L30" s="3216">
        <v>41604</v>
      </c>
      <c r="M30" s="3214" t="s">
        <v>3215</v>
      </c>
      <c r="N30" s="3214" t="s">
        <v>3111</v>
      </c>
      <c r="O30" s="3214" t="s">
        <v>3125</v>
      </c>
      <c r="P30" s="3214" t="s">
        <v>3111</v>
      </c>
      <c r="Q30" s="3214" t="s">
        <v>3111</v>
      </c>
      <c r="R30" s="3227" t="s">
        <v>3216</v>
      </c>
      <c r="S30" s="3227" t="s">
        <v>3215</v>
      </c>
      <c r="T30" s="3228">
        <v>41541</v>
      </c>
      <c r="U30" s="3227">
        <v>20024390</v>
      </c>
      <c r="V30" s="3227">
        <v>392.39</v>
      </c>
      <c r="W30" s="3227">
        <v>2323.9216000000001</v>
      </c>
      <c r="X30" s="3227">
        <f t="shared" si="24"/>
        <v>848</v>
      </c>
      <c r="Y30" s="3324"/>
      <c r="Z30" s="3330"/>
      <c r="AA30" s="3330"/>
      <c r="AB30" s="3330"/>
      <c r="AC30" s="3217">
        <v>91855</v>
      </c>
      <c r="AD30" s="3217">
        <f t="shared" si="25"/>
        <v>73484</v>
      </c>
      <c r="AE30" s="3217">
        <v>0</v>
      </c>
      <c r="AF30" s="3217">
        <v>0</v>
      </c>
      <c r="AG30" s="3217">
        <f t="shared" si="26"/>
        <v>73484</v>
      </c>
      <c r="AH30" s="3217">
        <f t="shared" si="27"/>
        <v>18371</v>
      </c>
    </row>
    <row r="31" spans="1:34" ht="42" customHeight="1">
      <c r="A31" s="3323"/>
      <c r="B31" s="3213">
        <v>23</v>
      </c>
      <c r="C31" s="3213" t="s">
        <v>3217</v>
      </c>
      <c r="D31" s="3214" t="s">
        <v>3218</v>
      </c>
      <c r="E31" s="3214" t="s">
        <v>3108</v>
      </c>
      <c r="F31" s="3214" t="s">
        <v>3219</v>
      </c>
      <c r="G31" s="3214" t="s">
        <v>3096</v>
      </c>
      <c r="H31" s="3215">
        <v>8200900060967000</v>
      </c>
      <c r="I31" s="3214" t="s">
        <v>3130</v>
      </c>
      <c r="J31" s="3216" t="s">
        <v>3098</v>
      </c>
      <c r="K31" s="3214">
        <v>60037</v>
      </c>
      <c r="L31" s="3216">
        <v>41546</v>
      </c>
      <c r="M31" s="3214" t="s">
        <v>3220</v>
      </c>
      <c r="N31" s="3214" t="s">
        <v>3111</v>
      </c>
      <c r="O31" s="3214" t="s">
        <v>3125</v>
      </c>
      <c r="P31" s="3214" t="s">
        <v>3111</v>
      </c>
      <c r="Q31" s="3214" t="s">
        <v>3111</v>
      </c>
      <c r="R31" s="3227" t="s">
        <v>3221</v>
      </c>
      <c r="S31" s="3227" t="s">
        <v>3220</v>
      </c>
      <c r="T31" s="3228">
        <v>41541</v>
      </c>
      <c r="U31" s="3227">
        <v>23558388</v>
      </c>
      <c r="V31" s="3227">
        <v>392.39</v>
      </c>
      <c r="W31" s="3227">
        <v>2734.0495000000001</v>
      </c>
      <c r="X31" s="3227">
        <f t="shared" si="24"/>
        <v>848</v>
      </c>
      <c r="Y31" s="3324"/>
      <c r="Z31" s="3331"/>
      <c r="AA31" s="3331"/>
      <c r="AB31" s="3331"/>
      <c r="AC31" s="3217">
        <v>108066</v>
      </c>
      <c r="AD31" s="3217">
        <f t="shared" si="25"/>
        <v>86453</v>
      </c>
      <c r="AE31" s="3217">
        <v>0</v>
      </c>
      <c r="AF31" s="3217">
        <v>0</v>
      </c>
      <c r="AG31" s="3217">
        <f t="shared" si="26"/>
        <v>86453</v>
      </c>
      <c r="AH31" s="3217">
        <f t="shared" si="27"/>
        <v>21613</v>
      </c>
    </row>
    <row r="32" spans="1:34" s="3185" customFormat="1" ht="30" customHeight="1">
      <c r="A32" s="3218"/>
      <c r="B32" s="3218" t="s">
        <v>3105</v>
      </c>
      <c r="C32" s="3218"/>
      <c r="D32" s="3218"/>
      <c r="E32" s="3218"/>
      <c r="F32" s="3218"/>
      <c r="G32" s="3218"/>
      <c r="H32" s="3219"/>
      <c r="I32" s="3218"/>
      <c r="J32" s="3220"/>
      <c r="K32" s="3218">
        <f>SUM(K26:K31)</f>
        <v>377071</v>
      </c>
      <c r="L32" s="3218"/>
      <c r="M32" s="3218"/>
      <c r="N32" s="3218"/>
      <c r="O32" s="3218"/>
      <c r="P32" s="3218"/>
      <c r="Q32" s="3218"/>
      <c r="R32" s="3218"/>
      <c r="S32" s="3218"/>
      <c r="T32" s="3218"/>
      <c r="U32" s="3218">
        <f t="shared" ref="U32:W32" si="28">SUM(U26:U31)</f>
        <v>147962050</v>
      </c>
      <c r="V32" s="3218"/>
      <c r="W32" s="3218">
        <f t="shared" si="28"/>
        <v>17171.5906</v>
      </c>
      <c r="X32" s="3218"/>
      <c r="Y32" s="3218"/>
      <c r="Z32" s="3218"/>
      <c r="AA32" s="3218">
        <v>0.2</v>
      </c>
      <c r="AB32" s="3218"/>
      <c r="AC32" s="3218">
        <f>SUM(AC26:AC31)</f>
        <v>678725</v>
      </c>
      <c r="AD32" s="3218">
        <f t="shared" ref="AD32:AG32" si="29">SUM(AD26:AD31)</f>
        <v>542980</v>
      </c>
      <c r="AE32" s="3218">
        <f t="shared" si="29"/>
        <v>0</v>
      </c>
      <c r="AF32" s="3218">
        <f t="shared" si="29"/>
        <v>0</v>
      </c>
      <c r="AG32" s="3218">
        <f t="shared" si="29"/>
        <v>542980</v>
      </c>
      <c r="AH32" s="3218">
        <f>SUM(AH26:AH31)</f>
        <v>135745</v>
      </c>
    </row>
    <row r="33" spans="1:36" ht="42" customHeight="1">
      <c r="A33" s="3323">
        <v>7</v>
      </c>
      <c r="B33" s="3213">
        <v>24</v>
      </c>
      <c r="C33" s="3213" t="s">
        <v>3222</v>
      </c>
      <c r="D33" s="3214" t="s">
        <v>3223</v>
      </c>
      <c r="E33" s="3214" t="s">
        <v>3108</v>
      </c>
      <c r="F33" s="3214" t="s">
        <v>3224</v>
      </c>
      <c r="G33" s="3214" t="s">
        <v>3096</v>
      </c>
      <c r="H33" s="3215">
        <v>8200900060968000</v>
      </c>
      <c r="I33" s="3214" t="s">
        <v>3130</v>
      </c>
      <c r="J33" s="3216" t="s">
        <v>3225</v>
      </c>
      <c r="K33" s="3214">
        <v>69007</v>
      </c>
      <c r="L33" s="3216">
        <v>41603</v>
      </c>
      <c r="M33" s="3214" t="s">
        <v>3226</v>
      </c>
      <c r="N33" s="3214" t="s">
        <v>3111</v>
      </c>
      <c r="O33" s="3214" t="s">
        <v>3111</v>
      </c>
      <c r="P33" s="3214" t="s">
        <v>3111</v>
      </c>
      <c r="Q33" s="3214" t="s">
        <v>3102</v>
      </c>
      <c r="R33" s="3227" t="s">
        <v>3227</v>
      </c>
      <c r="S33" s="3227" t="s">
        <v>3226</v>
      </c>
      <c r="T33" s="3228">
        <v>41541</v>
      </c>
      <c r="U33" s="3227">
        <v>18466184</v>
      </c>
      <c r="V33" s="3227">
        <v>267.58999999999997</v>
      </c>
      <c r="W33" s="3227">
        <v>3142.538</v>
      </c>
      <c r="X33" s="3227">
        <f t="shared" ref="X33:X38" si="30">ROUND((U33+W33*10000)/K33,0)</f>
        <v>723</v>
      </c>
      <c r="Y33" s="3324" t="s">
        <v>3228</v>
      </c>
      <c r="Z33" s="3329" t="s">
        <v>3114</v>
      </c>
      <c r="AA33" s="3329" t="s">
        <v>3596</v>
      </c>
      <c r="AB33" s="3329" t="s">
        <v>3115</v>
      </c>
      <c r="AC33" s="3217">
        <v>82808</v>
      </c>
      <c r="AD33" s="3217">
        <f>ROUND(AC33*(1-$AA$39),0)</f>
        <v>66246</v>
      </c>
      <c r="AE33" s="3217">
        <f>AD33-AG33</f>
        <v>19874</v>
      </c>
      <c r="AF33" s="3217">
        <v>0</v>
      </c>
      <c r="AG33" s="3217">
        <f>ROUND(AD33*0.7,0)</f>
        <v>46372</v>
      </c>
      <c r="AH33" s="3217">
        <f>AC33-AD33</f>
        <v>16562</v>
      </c>
    </row>
    <row r="34" spans="1:36" ht="42" customHeight="1">
      <c r="A34" s="3323"/>
      <c r="B34" s="3213">
        <v>25</v>
      </c>
      <c r="C34" s="3213" t="s">
        <v>3229</v>
      </c>
      <c r="D34" s="3214" t="s">
        <v>3230</v>
      </c>
      <c r="E34" s="3214" t="s">
        <v>3108</v>
      </c>
      <c r="F34" s="3214" t="s">
        <v>3231</v>
      </c>
      <c r="G34" s="3214" t="s">
        <v>3096</v>
      </c>
      <c r="H34" s="3215">
        <v>8200900060969000</v>
      </c>
      <c r="I34" s="3214" t="s">
        <v>3097</v>
      </c>
      <c r="J34" s="3216" t="s">
        <v>3098</v>
      </c>
      <c r="K34" s="3214">
        <v>67457</v>
      </c>
      <c r="L34" s="3214" t="s">
        <v>3099</v>
      </c>
      <c r="M34" s="3214" t="s">
        <v>3232</v>
      </c>
      <c r="N34" s="3214" t="s">
        <v>3111</v>
      </c>
      <c r="O34" s="3214" t="s">
        <v>3111</v>
      </c>
      <c r="P34" s="3214" t="s">
        <v>3111</v>
      </c>
      <c r="Q34" s="3214" t="s">
        <v>3102</v>
      </c>
      <c r="R34" s="3227" t="s">
        <v>3233</v>
      </c>
      <c r="S34" s="3227" t="s">
        <v>3232</v>
      </c>
      <c r="T34" s="3228">
        <v>41541</v>
      </c>
      <c r="U34" s="3227">
        <v>18051404</v>
      </c>
      <c r="V34" s="3227">
        <v>267.58999999999997</v>
      </c>
      <c r="W34" s="3227">
        <v>3071.9519</v>
      </c>
      <c r="X34" s="3227">
        <f t="shared" si="30"/>
        <v>723</v>
      </c>
      <c r="Y34" s="3324"/>
      <c r="Z34" s="3330"/>
      <c r="AA34" s="3330"/>
      <c r="AB34" s="3330"/>
      <c r="AC34" s="3217">
        <v>80948</v>
      </c>
      <c r="AD34" s="3217">
        <f t="shared" ref="AD34:AD38" si="31">ROUND(AC34*(1-$AA$39),0)</f>
        <v>64758</v>
      </c>
      <c r="AE34" s="3217">
        <f t="shared" ref="AE34:AE38" si="32">AD34-AG34</f>
        <v>19427</v>
      </c>
      <c r="AF34" s="3217">
        <v>0</v>
      </c>
      <c r="AG34" s="3217">
        <f t="shared" ref="AG34:AG38" si="33">ROUND(AD34*0.7,0)</f>
        <v>45331</v>
      </c>
      <c r="AH34" s="3217">
        <f t="shared" ref="AH34:AH38" si="34">AC34-AD34</f>
        <v>16190</v>
      </c>
    </row>
    <row r="35" spans="1:36" ht="42" customHeight="1">
      <c r="A35" s="3323"/>
      <c r="B35" s="3213">
        <v>26</v>
      </c>
      <c r="C35" s="3213" t="s">
        <v>3234</v>
      </c>
      <c r="D35" s="3214" t="s">
        <v>3235</v>
      </c>
      <c r="E35" s="3214" t="s">
        <v>3108</v>
      </c>
      <c r="F35" s="3214" t="s">
        <v>3236</v>
      </c>
      <c r="G35" s="3214" t="s">
        <v>3096</v>
      </c>
      <c r="H35" s="3215">
        <v>8200900060970000</v>
      </c>
      <c r="I35" s="3214" t="s">
        <v>3097</v>
      </c>
      <c r="J35" s="3216" t="s">
        <v>3098</v>
      </c>
      <c r="K35" s="3214">
        <v>47452</v>
      </c>
      <c r="L35" s="3214" t="s">
        <v>3099</v>
      </c>
      <c r="M35" s="3214" t="s">
        <v>3237</v>
      </c>
      <c r="N35" s="3214" t="s">
        <v>3102</v>
      </c>
      <c r="O35" s="3214" t="s">
        <v>3111</v>
      </c>
      <c r="P35" s="3214" t="s">
        <v>3111</v>
      </c>
      <c r="Q35" s="3214" t="s">
        <v>3102</v>
      </c>
      <c r="R35" s="3227" t="s">
        <v>3238</v>
      </c>
      <c r="S35" s="3227" t="s">
        <v>3237</v>
      </c>
      <c r="T35" s="3228">
        <v>41541</v>
      </c>
      <c r="U35" s="3227">
        <v>12698066</v>
      </c>
      <c r="V35" s="3227">
        <v>267.58999999999997</v>
      </c>
      <c r="W35" s="3227">
        <v>2160.9360000000001</v>
      </c>
      <c r="X35" s="3227">
        <f t="shared" si="30"/>
        <v>723</v>
      </c>
      <c r="Y35" s="3324"/>
      <c r="Z35" s="3330"/>
      <c r="AA35" s="3330"/>
      <c r="AB35" s="3330"/>
      <c r="AC35" s="3217">
        <v>56942</v>
      </c>
      <c r="AD35" s="3217">
        <f t="shared" si="31"/>
        <v>45554</v>
      </c>
      <c r="AE35" s="3217">
        <f t="shared" si="32"/>
        <v>13666</v>
      </c>
      <c r="AF35" s="3217">
        <v>0</v>
      </c>
      <c r="AG35" s="3217">
        <f t="shared" si="33"/>
        <v>31888</v>
      </c>
      <c r="AH35" s="3217">
        <f t="shared" si="34"/>
        <v>11388</v>
      </c>
    </row>
    <row r="36" spans="1:36" ht="42" customHeight="1">
      <c r="A36" s="3323"/>
      <c r="B36" s="3213">
        <v>27</v>
      </c>
      <c r="C36" s="3213" t="s">
        <v>3239</v>
      </c>
      <c r="D36" s="3214" t="s">
        <v>3240</v>
      </c>
      <c r="E36" s="3214" t="s">
        <v>3108</v>
      </c>
      <c r="F36" s="3214" t="s">
        <v>3241</v>
      </c>
      <c r="G36" s="3214" t="s">
        <v>3096</v>
      </c>
      <c r="H36" s="3215">
        <v>8200900060971000</v>
      </c>
      <c r="I36" s="3214" t="s">
        <v>3097</v>
      </c>
      <c r="J36" s="3216" t="s">
        <v>3098</v>
      </c>
      <c r="K36" s="3214">
        <v>66819</v>
      </c>
      <c r="L36" s="3214" t="s">
        <v>3099</v>
      </c>
      <c r="M36" s="3214" t="s">
        <v>3242</v>
      </c>
      <c r="N36" s="3214" t="s">
        <v>3111</v>
      </c>
      <c r="O36" s="3214" t="s">
        <v>3111</v>
      </c>
      <c r="P36" s="3214" t="s">
        <v>3111</v>
      </c>
      <c r="Q36" s="3214" t="s">
        <v>3111</v>
      </c>
      <c r="R36" s="3227" t="s">
        <v>3243</v>
      </c>
      <c r="S36" s="3227" t="s">
        <v>3242</v>
      </c>
      <c r="T36" s="3228">
        <v>41541</v>
      </c>
      <c r="U36" s="3227">
        <v>17880586</v>
      </c>
      <c r="V36" s="3227">
        <v>267.58999999999997</v>
      </c>
      <c r="W36" s="3227">
        <v>3042.8978000000002</v>
      </c>
      <c r="X36" s="3227">
        <f t="shared" si="30"/>
        <v>723</v>
      </c>
      <c r="Y36" s="3324"/>
      <c r="Z36" s="3330"/>
      <c r="AA36" s="3330"/>
      <c r="AB36" s="3330"/>
      <c r="AC36" s="3217">
        <v>80182</v>
      </c>
      <c r="AD36" s="3217">
        <f t="shared" si="31"/>
        <v>64146</v>
      </c>
      <c r="AE36" s="3217">
        <f t="shared" si="32"/>
        <v>19244</v>
      </c>
      <c r="AF36" s="3217">
        <v>0</v>
      </c>
      <c r="AG36" s="3217">
        <f t="shared" si="33"/>
        <v>44902</v>
      </c>
      <c r="AH36" s="3217">
        <f t="shared" si="34"/>
        <v>16036</v>
      </c>
    </row>
    <row r="37" spans="1:36" ht="42" customHeight="1">
      <c r="A37" s="3323"/>
      <c r="B37" s="3213">
        <v>28</v>
      </c>
      <c r="C37" s="3213" t="s">
        <v>3244</v>
      </c>
      <c r="D37" s="3214" t="s">
        <v>3245</v>
      </c>
      <c r="E37" s="3214" t="s">
        <v>3108</v>
      </c>
      <c r="F37" s="3214" t="s">
        <v>3246</v>
      </c>
      <c r="G37" s="3214" t="s">
        <v>3096</v>
      </c>
      <c r="H37" s="3215">
        <v>8200900060972000</v>
      </c>
      <c r="I37" s="3214" t="s">
        <v>3097</v>
      </c>
      <c r="J37" s="3216" t="s">
        <v>3098</v>
      </c>
      <c r="K37" s="3214">
        <v>68988</v>
      </c>
      <c r="L37" s="3214" t="s">
        <v>3099</v>
      </c>
      <c r="M37" s="3214" t="s">
        <v>3247</v>
      </c>
      <c r="N37" s="3214" t="s">
        <v>3111</v>
      </c>
      <c r="O37" s="3214" t="s">
        <v>3111</v>
      </c>
      <c r="P37" s="3214" t="s">
        <v>3111</v>
      </c>
      <c r="Q37" s="3214" t="s">
        <v>3111</v>
      </c>
      <c r="R37" s="3227" t="s">
        <v>3248</v>
      </c>
      <c r="S37" s="3227" t="s">
        <v>3247</v>
      </c>
      <c r="T37" s="3228">
        <v>41541</v>
      </c>
      <c r="U37" s="3227">
        <v>18461055</v>
      </c>
      <c r="V37" s="3227">
        <v>267.58999999999997</v>
      </c>
      <c r="W37" s="3227">
        <v>3141.6727999999998</v>
      </c>
      <c r="X37" s="3227">
        <f t="shared" si="30"/>
        <v>723</v>
      </c>
      <c r="Y37" s="3324"/>
      <c r="Z37" s="3330"/>
      <c r="AA37" s="3330"/>
      <c r="AB37" s="3330"/>
      <c r="AC37" s="3217">
        <v>82785</v>
      </c>
      <c r="AD37" s="3217">
        <f t="shared" si="31"/>
        <v>66228</v>
      </c>
      <c r="AE37" s="3217">
        <f t="shared" si="32"/>
        <v>19868</v>
      </c>
      <c r="AF37" s="3217">
        <v>0</v>
      </c>
      <c r="AG37" s="3217">
        <f t="shared" si="33"/>
        <v>46360</v>
      </c>
      <c r="AH37" s="3217">
        <f t="shared" si="34"/>
        <v>16557</v>
      </c>
    </row>
    <row r="38" spans="1:36" ht="42" customHeight="1">
      <c r="A38" s="3323"/>
      <c r="B38" s="3213">
        <v>29</v>
      </c>
      <c r="C38" s="3213" t="s">
        <v>3249</v>
      </c>
      <c r="D38" s="3214" t="s">
        <v>3250</v>
      </c>
      <c r="E38" s="3214" t="s">
        <v>3108</v>
      </c>
      <c r="F38" s="3214" t="s">
        <v>3251</v>
      </c>
      <c r="G38" s="3214" t="s">
        <v>3096</v>
      </c>
      <c r="H38" s="3215">
        <v>8200900060973000</v>
      </c>
      <c r="I38" s="3214" t="s">
        <v>3097</v>
      </c>
      <c r="J38" s="3216" t="s">
        <v>3098</v>
      </c>
      <c r="K38" s="3214">
        <v>56705</v>
      </c>
      <c r="L38" s="3214" t="s">
        <v>3099</v>
      </c>
      <c r="M38" s="3214" t="s">
        <v>3252</v>
      </c>
      <c r="N38" s="3214" t="s">
        <v>3111</v>
      </c>
      <c r="O38" s="3214" t="s">
        <v>3111</v>
      </c>
      <c r="P38" s="3214" t="s">
        <v>3111</v>
      </c>
      <c r="Q38" s="3214" t="s">
        <v>3111</v>
      </c>
      <c r="R38" s="3227" t="s">
        <v>3253</v>
      </c>
      <c r="S38" s="3227" t="s">
        <v>3252</v>
      </c>
      <c r="T38" s="3228">
        <v>41541</v>
      </c>
      <c r="U38" s="3227">
        <v>15174258</v>
      </c>
      <c r="V38" s="3227">
        <v>267.60000000000002</v>
      </c>
      <c r="W38" s="3227">
        <v>2582.3121999999998</v>
      </c>
      <c r="X38" s="3227">
        <f t="shared" si="30"/>
        <v>723</v>
      </c>
      <c r="Y38" s="3324"/>
      <c r="Z38" s="3331"/>
      <c r="AA38" s="3331"/>
      <c r="AB38" s="3331"/>
      <c r="AC38" s="3217">
        <v>68046</v>
      </c>
      <c r="AD38" s="3217">
        <f t="shared" si="31"/>
        <v>54437</v>
      </c>
      <c r="AE38" s="3217">
        <f t="shared" si="32"/>
        <v>16331</v>
      </c>
      <c r="AF38" s="3217">
        <v>0</v>
      </c>
      <c r="AG38" s="3217">
        <f t="shared" si="33"/>
        <v>38106</v>
      </c>
      <c r="AH38" s="3217">
        <f t="shared" si="34"/>
        <v>13609</v>
      </c>
    </row>
    <row r="39" spans="1:36" s="3185" customFormat="1" ht="30" customHeight="1">
      <c r="A39" s="3218"/>
      <c r="B39" s="3218" t="s">
        <v>3105</v>
      </c>
      <c r="C39" s="3218"/>
      <c r="D39" s="3218"/>
      <c r="E39" s="3218"/>
      <c r="F39" s="3218"/>
      <c r="G39" s="3218"/>
      <c r="H39" s="3219"/>
      <c r="I39" s="3218"/>
      <c r="J39" s="3220"/>
      <c r="K39" s="3218">
        <f>SUM(K33:K38)</f>
        <v>376428</v>
      </c>
      <c r="L39" s="3218"/>
      <c r="M39" s="3218"/>
      <c r="N39" s="3218"/>
      <c r="O39" s="3218"/>
      <c r="P39" s="3218"/>
      <c r="Q39" s="3218"/>
      <c r="R39" s="3218"/>
      <c r="S39" s="3218"/>
      <c r="T39" s="3218"/>
      <c r="U39" s="3218">
        <f t="shared" ref="U39:W39" si="35">SUM(U33:U38)</f>
        <v>100731553</v>
      </c>
      <c r="V39" s="3218"/>
      <c r="W39" s="3218">
        <f t="shared" si="35"/>
        <v>17142.308700000001</v>
      </c>
      <c r="X39" s="3218"/>
      <c r="Y39" s="3218"/>
      <c r="Z39" s="3218"/>
      <c r="AA39" s="3218">
        <v>0.2</v>
      </c>
      <c r="AB39" s="3218"/>
      <c r="AC39" s="3218">
        <f>SUM(AC33:AC38)</f>
        <v>451711</v>
      </c>
      <c r="AD39" s="3218">
        <f t="shared" ref="AD39:AH39" si="36">SUM(AD33:AD38)</f>
        <v>361369</v>
      </c>
      <c r="AE39" s="3218">
        <f t="shared" si="36"/>
        <v>108410</v>
      </c>
      <c r="AF39" s="3218">
        <f t="shared" si="36"/>
        <v>0</v>
      </c>
      <c r="AG39" s="3218">
        <f t="shared" si="36"/>
        <v>252959</v>
      </c>
      <c r="AH39" s="3218">
        <f t="shared" si="36"/>
        <v>90342</v>
      </c>
    </row>
    <row r="40" spans="1:36" s="3185" customFormat="1" ht="30" customHeight="1">
      <c r="A40" s="3218" t="s">
        <v>3254</v>
      </c>
      <c r="B40" s="3218"/>
      <c r="C40" s="3218"/>
      <c r="D40" s="3218"/>
      <c r="E40" s="3218"/>
      <c r="F40" s="3218"/>
      <c r="G40" s="3218"/>
      <c r="H40" s="3219"/>
      <c r="I40" s="3218"/>
      <c r="J40" s="3220"/>
      <c r="K40" s="3218">
        <f>K8+K12+K16+K21+K25+K32+K39</f>
        <v>1775423</v>
      </c>
      <c r="L40" s="3218"/>
      <c r="M40" s="3218"/>
      <c r="N40" s="3218"/>
      <c r="O40" s="3218"/>
      <c r="P40" s="3218"/>
      <c r="Q40" s="3218"/>
      <c r="R40" s="3218"/>
      <c r="S40" s="3218"/>
      <c r="T40" s="3218"/>
      <c r="U40" s="3218">
        <f>U8+U12+U16+U21+U25+U32+U39</f>
        <v>552353999</v>
      </c>
      <c r="V40" s="3218"/>
      <c r="W40" s="3218">
        <f>W8+W12+W16+W21+W25+W32+W39</f>
        <v>78946.892200000002</v>
      </c>
      <c r="X40" s="3218"/>
      <c r="Y40" s="3218">
        <f>ROUND(AC40/K40,2)</f>
        <v>1.44</v>
      </c>
      <c r="Z40" s="3218"/>
      <c r="AA40" s="3218"/>
      <c r="AB40" s="3218"/>
      <c r="AC40" s="3218">
        <f>AC8+AC12+AC16+AC21+AC25+AC32+AC39</f>
        <v>2548130</v>
      </c>
      <c r="AD40" s="3218">
        <f t="shared" ref="AD40:AH40" si="37">AD8+AD12+AD16+AD21+AD25+AD32+AD39</f>
        <v>1641305</v>
      </c>
      <c r="AE40" s="3218">
        <f t="shared" si="37"/>
        <v>189873</v>
      </c>
      <c r="AF40" s="3218">
        <f t="shared" si="37"/>
        <v>45583</v>
      </c>
      <c r="AG40" s="3218">
        <f t="shared" si="37"/>
        <v>1405849</v>
      </c>
      <c r="AH40" s="3218">
        <f t="shared" si="37"/>
        <v>906825</v>
      </c>
      <c r="AI40" s="3230">
        <f>'数据-取费表'!G6</f>
        <v>0.94899999999999995</v>
      </c>
      <c r="AJ40" s="3230">
        <f>'数据-取费表'!G7</f>
        <v>0.98699999999999999</v>
      </c>
    </row>
    <row r="41" spans="1:36" ht="20.25" customHeight="1">
      <c r="AD41" s="3225" t="s">
        <v>3591</v>
      </c>
      <c r="AE41" s="3225"/>
      <c r="AF41" s="3225"/>
      <c r="AG41" s="3225"/>
      <c r="AH41" s="3225" t="s">
        <v>3590</v>
      </c>
      <c r="AI41" s="3184">
        <f>ROUND((AI40*AH40+AJ40*AD40)/AC40,4)</f>
        <v>0.97350000000000003</v>
      </c>
    </row>
    <row r="42" spans="1:36" s="3186" customFormat="1" ht="20.25" customHeight="1">
      <c r="A42" s="3221"/>
      <c r="B42" s="3221"/>
      <c r="C42" s="3221"/>
      <c r="D42" s="3222"/>
      <c r="E42" s="3222"/>
      <c r="F42" s="3222"/>
      <c r="G42" s="3222"/>
      <c r="H42" s="3223"/>
      <c r="I42" s="3222"/>
      <c r="J42" s="3222"/>
      <c r="K42" s="3222"/>
      <c r="L42" s="3222"/>
      <c r="M42" s="3222"/>
      <c r="N42" s="3222"/>
      <c r="O42" s="3222"/>
      <c r="P42" s="3222"/>
      <c r="Q42" s="3222"/>
      <c r="R42" s="3229"/>
      <c r="S42" s="3229"/>
      <c r="T42" s="3229"/>
      <c r="U42" s="3229"/>
      <c r="V42" s="3229"/>
      <c r="W42" s="3229"/>
      <c r="X42" s="3229"/>
      <c r="Y42" s="3224"/>
      <c r="Z42" s="3224"/>
      <c r="AA42" s="3224"/>
      <c r="AB42" s="3224"/>
      <c r="AC42" s="3225" t="s">
        <v>3589</v>
      </c>
      <c r="AD42" s="3226">
        <f>AD40/AC40</f>
        <v>0.64412137528305069</v>
      </c>
      <c r="AE42" s="3226"/>
      <c r="AF42" s="3226"/>
      <c r="AG42" s="3226"/>
      <c r="AH42" s="3226">
        <f>AH40/AC40</f>
        <v>0.35587862471694931</v>
      </c>
    </row>
  </sheetData>
  <mergeCells count="67">
    <mergeCell ref="A26:A31"/>
    <mergeCell ref="Y26:Y31"/>
    <mergeCell ref="Z26:Z31"/>
    <mergeCell ref="AA26:AA31"/>
    <mergeCell ref="AB26:AB31"/>
    <mergeCell ref="A33:A38"/>
    <mergeCell ref="Y33:Y38"/>
    <mergeCell ref="Z33:Z38"/>
    <mergeCell ref="AA33:AA38"/>
    <mergeCell ref="AB33:AB38"/>
    <mergeCell ref="AB13:AB15"/>
    <mergeCell ref="Y17:Y20"/>
    <mergeCell ref="A22:A24"/>
    <mergeCell ref="Y22:Y24"/>
    <mergeCell ref="Z22:Z24"/>
    <mergeCell ref="AA22:AA24"/>
    <mergeCell ref="AB22:AB24"/>
    <mergeCell ref="Z17:Z20"/>
    <mergeCell ref="AA17:AA20"/>
    <mergeCell ref="AB17:AB20"/>
    <mergeCell ref="A17:A20"/>
    <mergeCell ref="A13:A15"/>
    <mergeCell ref="Y13:Y15"/>
    <mergeCell ref="Z13:Z15"/>
    <mergeCell ref="AA13:AA15"/>
    <mergeCell ref="A9:A11"/>
    <mergeCell ref="Y9:Y11"/>
    <mergeCell ref="Z9:Z11"/>
    <mergeCell ref="AA9:AA11"/>
    <mergeCell ref="AB9:AB11"/>
    <mergeCell ref="F1:F3"/>
    <mergeCell ref="G1:G3"/>
    <mergeCell ref="H1:H3"/>
    <mergeCell ref="AC1:AH1"/>
    <mergeCell ref="A4:A7"/>
    <mergeCell ref="Y4:Y7"/>
    <mergeCell ref="Z4:Z7"/>
    <mergeCell ref="AA4:AA7"/>
    <mergeCell ref="AB4:AB7"/>
    <mergeCell ref="A1:A3"/>
    <mergeCell ref="B1:B3"/>
    <mergeCell ref="C1:C3"/>
    <mergeCell ref="D1:D3"/>
    <mergeCell ref="E1:E3"/>
    <mergeCell ref="W1:W3"/>
    <mergeCell ref="X1:X3"/>
    <mergeCell ref="Y1:Y3"/>
    <mergeCell ref="Z1:Z3"/>
    <mergeCell ref="I1:I3"/>
    <mergeCell ref="J1:J3"/>
    <mergeCell ref="K1:K3"/>
    <mergeCell ref="L1:L3"/>
    <mergeCell ref="M1:M3"/>
    <mergeCell ref="N1:N3"/>
    <mergeCell ref="O1:O3"/>
    <mergeCell ref="P1:P3"/>
    <mergeCell ref="Q1:Q3"/>
    <mergeCell ref="R1:R3"/>
    <mergeCell ref="S1:S3"/>
    <mergeCell ref="T1:T3"/>
    <mergeCell ref="U1:U3"/>
    <mergeCell ref="V1:V3"/>
    <mergeCell ref="AA1:AA3"/>
    <mergeCell ref="AB1:AB3"/>
    <mergeCell ref="AC2:AC3"/>
    <mergeCell ref="AD2:AG2"/>
    <mergeCell ref="AH2:AH3"/>
  </mergeCells>
  <phoneticPr fontId="229"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41" t="s">
        <v>203</v>
      </c>
      <c r="B2" s="3341"/>
      <c r="C2" s="3341"/>
      <c r="D2" s="1958" t="s">
        <v>204</v>
      </c>
      <c r="E2" s="106" t="s">
        <v>205</v>
      </c>
      <c r="F2" s="1967"/>
      <c r="G2" s="1194"/>
      <c r="H2" s="1195"/>
      <c r="I2" s="1196" t="s">
        <v>857</v>
      </c>
      <c r="J2" s="1967"/>
      <c r="K2" s="1967"/>
      <c r="L2" s="1967"/>
    </row>
    <row r="3" spans="1:16" ht="15.75" thickBot="1">
      <c r="A3" s="3342" t="s">
        <v>206</v>
      </c>
      <c r="B3" s="3342"/>
      <c r="C3" s="3342"/>
      <c r="D3" s="107">
        <f>'数据-基础表'!AY6</f>
        <v>259503</v>
      </c>
      <c r="E3" s="107">
        <f>'数据-基础表'!AZ5</f>
        <v>311402</v>
      </c>
      <c r="F3" s="1967"/>
      <c r="G3" s="280" t="s">
        <v>858</v>
      </c>
      <c r="H3" s="275" t="s">
        <v>859</v>
      </c>
      <c r="I3" s="1959">
        <f>ROUND('数据-基础表'!B3/'数据-基础表'!A3,2)</f>
        <v>1.2</v>
      </c>
      <c r="J3" s="1967"/>
      <c r="K3" s="1967"/>
      <c r="L3" s="1967"/>
    </row>
    <row r="4" spans="1:16" ht="15">
      <c r="A4" s="3343"/>
      <c r="B4" s="3344"/>
      <c r="C4" s="3345"/>
      <c r="D4" s="108" t="s">
        <v>204</v>
      </c>
      <c r="E4" s="109" t="s">
        <v>205</v>
      </c>
      <c r="F4" s="1967"/>
      <c r="G4" s="1197"/>
      <c r="H4" s="275" t="s">
        <v>860</v>
      </c>
      <c r="I4" s="1959">
        <f>ROUND(SUMIF('数据-基础表'!I9:AS9,"地上",'数据-基础表'!I5:AS5)/'数据-基础表'!A3,2)</f>
        <v>1.2</v>
      </c>
      <c r="J4" s="1967"/>
      <c r="K4" s="1967"/>
      <c r="L4" s="1967"/>
    </row>
    <row r="5" spans="1:16">
      <c r="A5" s="110" t="s">
        <v>207</v>
      </c>
      <c r="B5" s="3346" t="s">
        <v>230</v>
      </c>
      <c r="C5" s="3346"/>
      <c r="D5" s="111">
        <f>ROUND($D$3*E5/$E$3,2)</f>
        <v>0</v>
      </c>
      <c r="E5" s="112">
        <f>SUMIF('数据-基础表'!$11:$11,"住宅",'数据-基础表'!$5:$5)</f>
        <v>0</v>
      </c>
      <c r="F5" s="1967"/>
      <c r="G5" s="280" t="s">
        <v>861</v>
      </c>
      <c r="H5" s="275" t="s">
        <v>859</v>
      </c>
      <c r="I5" s="1959">
        <f>ROUND(E31/D31,2)</f>
        <v>1.2</v>
      </c>
      <c r="J5" s="1967"/>
      <c r="K5" s="1967"/>
      <c r="L5" s="1967"/>
    </row>
    <row r="6" spans="1:16" ht="15" thickBot="1">
      <c r="A6" s="113"/>
      <c r="B6" s="3346" t="s">
        <v>208</v>
      </c>
      <c r="C6" s="3346"/>
      <c r="D6" s="111">
        <f>ROUND($D$3*E6/$E$3,2)</f>
        <v>259503</v>
      </c>
      <c r="E6" s="112">
        <f>E3-E5</f>
        <v>311402</v>
      </c>
      <c r="F6" s="1967"/>
      <c r="G6" s="1197"/>
      <c r="H6" s="275" t="s">
        <v>860</v>
      </c>
      <c r="I6" s="1959">
        <f>ROUND(F31/D31,2)</f>
        <v>1.2</v>
      </c>
      <c r="J6" s="1967"/>
      <c r="K6" s="1967"/>
      <c r="L6" s="1967"/>
    </row>
    <row r="7" spans="1:16" ht="15">
      <c r="A7" s="3338"/>
      <c r="B7" s="3339"/>
      <c r="C7" s="3340"/>
      <c r="D7" s="108" t="s">
        <v>204</v>
      </c>
      <c r="E7" s="114" t="s">
        <v>231</v>
      </c>
      <c r="F7" s="1967"/>
      <c r="G7" s="1152" t="s">
        <v>1645</v>
      </c>
      <c r="H7" s="1153"/>
      <c r="I7" s="1829">
        <f>地块汇总表!Y40</f>
        <v>1.44</v>
      </c>
      <c r="J7" s="1967"/>
      <c r="K7" s="1967"/>
      <c r="L7" s="1967"/>
    </row>
    <row r="8" spans="1:16">
      <c r="A8" s="110" t="s">
        <v>209</v>
      </c>
      <c r="B8" s="115" t="s">
        <v>210</v>
      </c>
      <c r="C8" s="111" t="s">
        <v>211</v>
      </c>
      <c r="D8" s="111">
        <f t="shared" ref="D8:D15" si="0">ROUND($D$3*E8/$E$3,2)</f>
        <v>259503</v>
      </c>
      <c r="E8" s="116">
        <f>SUMIF('数据-基础表'!BB10:BK10,"地上",'数据-基础表'!BB5:BK5)</f>
        <v>311402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259503</v>
      </c>
      <c r="E16" s="120">
        <f>SUM(E8:E15)</f>
        <v>311402</v>
      </c>
      <c r="F16" s="1967"/>
      <c r="G16" s="1969"/>
      <c r="H16" s="968" t="s">
        <v>219</v>
      </c>
      <c r="I16" s="969"/>
      <c r="J16" s="1967"/>
      <c r="K16" s="3332" t="s">
        <v>2565</v>
      </c>
      <c r="L16" s="3333"/>
      <c r="M16" s="3333"/>
      <c r="N16" s="3333"/>
      <c r="O16" s="3333"/>
      <c r="P16" s="3334"/>
    </row>
    <row r="17" spans="1:19" ht="15">
      <c r="A17" s="121" t="s">
        <v>216</v>
      </c>
      <c r="B17" s="122" t="s">
        <v>217</v>
      </c>
      <c r="C17" s="2281" t="s">
        <v>2313</v>
      </c>
      <c r="D17" s="108" t="s">
        <v>204</v>
      </c>
      <c r="E17" s="124" t="s">
        <v>205</v>
      </c>
      <c r="F17" s="125"/>
      <c r="G17" s="1361"/>
      <c r="H17" s="970" t="s">
        <v>218</v>
      </c>
      <c r="I17" s="971" t="s">
        <v>2312</v>
      </c>
      <c r="J17" s="1967"/>
      <c r="K17" s="3335" t="s">
        <v>2566</v>
      </c>
      <c r="L17" s="3336"/>
      <c r="M17" s="3337"/>
      <c r="N17" s="3335" t="s">
        <v>2567</v>
      </c>
      <c r="O17" s="3336"/>
      <c r="P17" s="3337"/>
      <c r="R17" s="2282" t="s">
        <v>2311</v>
      </c>
      <c r="S17" s="144"/>
    </row>
    <row r="18" spans="1:19" ht="15">
      <c r="A18" s="117"/>
      <c r="B18" s="128"/>
      <c r="C18" s="129"/>
      <c r="D18" s="2604"/>
      <c r="E18" s="130" t="s">
        <v>220</v>
      </c>
      <c r="F18" s="131" t="s">
        <v>221</v>
      </c>
      <c r="G18" s="1362" t="s">
        <v>222</v>
      </c>
      <c r="H18" s="972" t="s">
        <v>223</v>
      </c>
      <c r="I18" s="973"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5" t="s">
        <v>3260</v>
      </c>
      <c r="D19" s="111">
        <f t="shared" ref="D19:D26" si="1">ROUND($D$3*E19/$E$3,2)</f>
        <v>259503</v>
      </c>
      <c r="E19" s="134">
        <f t="shared" ref="E19:E26" si="2">SUM(F19:G19)</f>
        <v>311402</v>
      </c>
      <c r="F19" s="135">
        <f>'数据-基础表'!I13</f>
        <v>311402</v>
      </c>
      <c r="G19" s="1363"/>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259503</v>
      </c>
      <c r="S19" s="2284">
        <f t="shared" si="5"/>
        <v>311402</v>
      </c>
    </row>
    <row r="20" spans="1:19">
      <c r="A20" s="138"/>
      <c r="B20" s="115" t="s">
        <v>226</v>
      </c>
      <c r="C20" s="2975" t="s">
        <v>3602</v>
      </c>
      <c r="D20" s="111">
        <f t="shared" si="1"/>
        <v>0</v>
      </c>
      <c r="E20" s="134">
        <f t="shared" si="2"/>
        <v>0</v>
      </c>
      <c r="F20" s="135">
        <f>'数据-基础表'!K13</f>
        <v>0</v>
      </c>
      <c r="G20" s="1363"/>
      <c r="H20" s="974">
        <f t="shared" ref="H20:H26" si="6">ROUND($D$3*I20/$E$3,2)</f>
        <v>0</v>
      </c>
      <c r="I20" s="116">
        <f t="shared" ref="I20:I26" si="7">IF($I$17="自定义",P20,M20)</f>
        <v>0</v>
      </c>
      <c r="J20" s="1967"/>
      <c r="K20" s="2570">
        <f t="shared" si="3"/>
        <v>0</v>
      </c>
      <c r="L20" s="275">
        <f>ROUND(IF(COUNTIF(C20,"*住宅*")&gt;0,E$29*E20/E$32,0),2)</f>
        <v>0</v>
      </c>
      <c r="M20" s="2571">
        <f t="shared" ref="M20:M26" si="8">K20+L20</f>
        <v>0</v>
      </c>
      <c r="N20" s="2572"/>
      <c r="O20" s="2573"/>
      <c r="P20" s="2574">
        <f t="shared" ref="P20:P26" si="9">N20+O20</f>
        <v>0</v>
      </c>
      <c r="R20" s="275">
        <f t="shared" si="5"/>
        <v>0</v>
      </c>
      <c r="S20" s="2284">
        <f t="shared" si="5"/>
        <v>0</v>
      </c>
    </row>
    <row r="21" spans="1:19">
      <c r="A21" s="138"/>
      <c r="B21" s="115" t="s">
        <v>226</v>
      </c>
      <c r="C21" s="2975" t="s">
        <v>3262</v>
      </c>
      <c r="D21" s="111">
        <f t="shared" si="1"/>
        <v>0</v>
      </c>
      <c r="E21" s="134">
        <f t="shared" si="2"/>
        <v>0</v>
      </c>
      <c r="F21" s="135">
        <f>'数据-基础表'!M13</f>
        <v>0</v>
      </c>
      <c r="G21" s="1363"/>
      <c r="H21" s="974">
        <f t="shared" si="6"/>
        <v>0</v>
      </c>
      <c r="I21" s="116">
        <f t="shared" si="7"/>
        <v>0</v>
      </c>
      <c r="J21" s="1967"/>
      <c r="K21" s="2570">
        <f t="shared" si="3"/>
        <v>0</v>
      </c>
      <c r="L21" s="275">
        <f>ROUND(IF(COUNTIF(C21,"*住宅*")&gt;0,E$29*E21/E$32,0),2)</f>
        <v>0</v>
      </c>
      <c r="M21" s="2571">
        <f t="shared" si="8"/>
        <v>0</v>
      </c>
      <c r="N21" s="2572"/>
      <c r="O21" s="2573"/>
      <c r="P21" s="2574">
        <f t="shared" si="9"/>
        <v>0</v>
      </c>
      <c r="R21" s="275">
        <f t="shared" si="5"/>
        <v>0</v>
      </c>
      <c r="S21" s="2284">
        <f t="shared" si="5"/>
        <v>0</v>
      </c>
    </row>
    <row r="22" spans="1:19">
      <c r="A22" s="138"/>
      <c r="B22" s="115" t="s">
        <v>226</v>
      </c>
      <c r="C22" s="3187" t="s">
        <v>3264</v>
      </c>
      <c r="D22" s="111">
        <f t="shared" si="1"/>
        <v>0</v>
      </c>
      <c r="E22" s="134">
        <f t="shared" si="2"/>
        <v>0</v>
      </c>
      <c r="F22" s="140">
        <f>'数据-基础表'!O13</f>
        <v>0</v>
      </c>
      <c r="G22" s="1364"/>
      <c r="H22" s="974">
        <f t="shared" si="6"/>
        <v>0</v>
      </c>
      <c r="I22" s="116">
        <f t="shared" si="7"/>
        <v>0</v>
      </c>
      <c r="J22" s="1967"/>
      <c r="K22" s="2570">
        <f t="shared" si="3"/>
        <v>0</v>
      </c>
      <c r="L22" s="275">
        <f>ROUND(IF(COUNTIF(C22,"*住宅*")&gt;0,E$29*E22/E$32,0),2)</f>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ROUND(IF(COUNTIF(C23,"*住宅*")&gt;0,E$29*E23/E$32,0),2)</f>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259503</v>
      </c>
      <c r="E27" s="143">
        <f>IF(SUM(E19:E26)='数据-基础表'!BA5,SUM(E19:E26),IF(F27="地上面积有误","面积有误","地下面积有误"))</f>
        <v>311402</v>
      </c>
      <c r="F27" s="134">
        <f>IF(SUM(F19:F26)=E8,SUM(F19:F26),"地上面积有误")</f>
        <v>311402</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259503</v>
      </c>
      <c r="S27" s="275">
        <f>IF(SUM(S19:S26)=$E$3,SUM(S19:S26),SUM(S19:S26)&amp;"误差"&amp;ROUND(SUM(S19:S26)-E3,2))</f>
        <v>311402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259503</v>
      </c>
      <c r="E31" s="1367">
        <f>E27+E30</f>
        <v>311402</v>
      </c>
      <c r="F31" s="1368">
        <f>F27+F30</f>
        <v>311402</v>
      </c>
      <c r="G31" s="1369">
        <f>G27+G30</f>
        <v>0</v>
      </c>
      <c r="H31" s="1967"/>
      <c r="I31" s="1967"/>
      <c r="J31" s="1967"/>
      <c r="K31" s="1967"/>
      <c r="L31" s="1967"/>
    </row>
    <row r="32" spans="1:19">
      <c r="A32" s="1967"/>
      <c r="B32" s="2325" t="s">
        <v>2321</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43565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商业</v>
      </c>
      <c r="B6" s="2320" t="str">
        <f>IF(A6=0,"","经营性")</f>
        <v>经营性</v>
      </c>
      <c r="C6" s="173" t="s">
        <v>3259</v>
      </c>
      <c r="D6" s="2291">
        <f>SUMIF(项目基本情况!D$15:I$15,C6,项目基本情况!D$18:I$18)</f>
        <v>40</v>
      </c>
      <c r="E6" s="2292">
        <f>IF(B6="","",SUMIF(项目基本情况!D$15:I$15,C6,项目基本情况!D$17:I$17))</f>
        <v>56150</v>
      </c>
      <c r="F6" s="174">
        <f>SUMIF(项目基本情况!D$15:I$15,C6,项目基本情况!D$19:I$19)</f>
        <v>34.47</v>
      </c>
      <c r="G6" s="175">
        <f>IF(ISERROR(ROUND(POWER(1+H6,D6-F6)*(POWER(1+H6,F6)-1)/(POWER(1+H6,D6)-1),3)),0,ROUND(POWER(1+H6,D6-F6)*(POWER(1+H6,F6)-1)/(POWER(1+H6,D6)-1),3))</f>
        <v>0.94899999999999995</v>
      </c>
      <c r="H6" s="2976">
        <v>0.05</v>
      </c>
      <c r="I6" s="2976">
        <v>5.5E-2</v>
      </c>
      <c r="J6" s="176"/>
      <c r="K6" s="179">
        <f>SUMIF('数据-汇总表'!C$19:C$33,'数据-取费表'!A6,'数据-汇总表'!E$19:E$33)</f>
        <v>311402</v>
      </c>
      <c r="L6" s="2977">
        <v>3500</v>
      </c>
      <c r="M6" s="177">
        <f t="shared" ref="M6:M14" si="0">ROUND(K6*L6/10000,0)</f>
        <v>108991</v>
      </c>
      <c r="N6" s="2978">
        <v>0</v>
      </c>
      <c r="O6" s="177">
        <f>IF($N$5="成新度","——",ROUND(M6*N6,0))</f>
        <v>0</v>
      </c>
      <c r="P6" s="178">
        <f>IF($N$5="成新度","——",M6-O6)</f>
        <v>108991</v>
      </c>
      <c r="Q6" s="2979">
        <v>0.1</v>
      </c>
      <c r="R6" s="179">
        <f>SUMIF('数据-汇总表'!C$19:C$33,A6,'数据-汇总表'!R$19:R$33)</f>
        <v>259503</v>
      </c>
      <c r="S6" s="132">
        <f>IF('数据-汇总表'!$I$17="按面积比例",SUMIF('数据-汇总表'!C$19:C$33,A6,'数据-汇总表'!K$19:K$33),SUMIF('数据-汇总表'!C$19:C$33,A6,'数据-汇总表'!N$19:N$33))</f>
        <v>0</v>
      </c>
      <c r="T6" s="2217" t="str">
        <f>IF($T$4="按面积比例",IF(ISERROR(ROUND($M$14*S6/S$16,0)),"0",ROUND($M$14*S6/S$16,0)),"需自行计算录入")</f>
        <v>0</v>
      </c>
      <c r="U6" s="180">
        <v>2</v>
      </c>
      <c r="V6" s="181">
        <v>0.03</v>
      </c>
      <c r="W6" s="181">
        <v>0.1</v>
      </c>
      <c r="X6" s="2304"/>
      <c r="Y6" s="182">
        <v>1</v>
      </c>
      <c r="Z6" s="183"/>
      <c r="AA6" s="176"/>
      <c r="AB6" s="176"/>
      <c r="AC6" s="2307"/>
      <c r="AD6" s="184"/>
      <c r="AE6" s="972">
        <f ca="1">IF(AN6="",0,SUMIF(INDIRECT("'"&amp;AN6&amp;"'"&amp;"!E:E"),$AE$5,INDIRECT("'"&amp;AN6&amp;"'"&amp;"!F:F")))</f>
        <v>29.47</v>
      </c>
      <c r="AF6" s="141"/>
      <c r="AG6" s="1209">
        <f>IF(AF6="",0,AE6-AF6)</f>
        <v>0</v>
      </c>
      <c r="AH6" s="141"/>
      <c r="AI6" s="187">
        <v>365</v>
      </c>
      <c r="AJ6" s="188"/>
      <c r="AK6" s="189">
        <v>1.4999999999999999E-2</v>
      </c>
      <c r="AL6" s="190">
        <v>1.5E-3</v>
      </c>
      <c r="AM6" s="2990">
        <v>0.01</v>
      </c>
      <c r="AN6" s="2354" t="s">
        <v>3271</v>
      </c>
      <c r="AO6" s="1983"/>
      <c r="AP6" s="1200">
        <f>ROUND(1-1/(1+H6)^F6,3)</f>
        <v>0.81399999999999995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多层</v>
      </c>
      <c r="B7" s="2320" t="str">
        <f t="shared" ref="B7:B13" si="1">IF(A7=0,"","经营性")</f>
        <v>经营性</v>
      </c>
      <c r="C7" s="173" t="s">
        <v>923</v>
      </c>
      <c r="D7" s="2291">
        <f>SUMIF(项目基本情况!D$15:I$15,C7,项目基本情况!D$18:I$18)</f>
        <v>70</v>
      </c>
      <c r="E7" s="2292">
        <f>IF(B7="","",SUMIF(项目基本情况!D$15:I$15,C7,项目基本情况!D$17:I$17))</f>
        <v>67107</v>
      </c>
      <c r="F7" s="174">
        <f>SUMIF(项目基本情况!D$15:I$15,C7,项目基本情况!D$19:I$19)</f>
        <v>64.489999999999995</v>
      </c>
      <c r="G7" s="175">
        <f t="shared" ref="G7:G11" si="2">IF(ISERROR(ROUND(POWER(1+H7,D7-F7)*(POWER(1+H7,F7)-1)/(POWER(1+H7,D7)-1),3)),0,ROUND(POWER(1+H7,D7-F7)*(POWER(1+H7,F7)-1)/(POWER(1+H7,D7)-1),3))</f>
        <v>0.98699999999999999</v>
      </c>
      <c r="H7" s="2976">
        <v>4.4999999999999998E-2</v>
      </c>
      <c r="I7" s="2976">
        <v>0.05</v>
      </c>
      <c r="J7" s="176"/>
      <c r="K7" s="179">
        <f>SUMIF('数据-汇总表'!C$19:C$33,'数据-取费表'!A7,'数据-汇总表'!E$19:E$33)</f>
        <v>0</v>
      </c>
      <c r="L7" s="2977">
        <v>2400</v>
      </c>
      <c r="M7" s="177">
        <f t="shared" si="0"/>
        <v>0</v>
      </c>
      <c r="N7" s="2978">
        <v>0</v>
      </c>
      <c r="O7" s="177">
        <f t="shared" ref="O7:O14" si="3">IF($N$5="成新度","——",ROUND(M7*N7,0))</f>
        <v>0</v>
      </c>
      <c r="P7" s="178">
        <f t="shared" ref="P7:P14" si="4">IF($N$5="成新度","——",M7-O7)</f>
        <v>0</v>
      </c>
      <c r="Q7" s="2979">
        <v>0.2</v>
      </c>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0.94099999999999995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小高层</v>
      </c>
      <c r="B8" s="2320" t="str">
        <f t="shared" si="1"/>
        <v>经营性</v>
      </c>
      <c r="C8" s="173" t="s">
        <v>923</v>
      </c>
      <c r="D8" s="2291">
        <f>SUMIF(项目基本情况!D$15:I$15,C8,项目基本情况!D$18:I$18)</f>
        <v>70</v>
      </c>
      <c r="E8" s="2292">
        <f>IF(B8="","",SUMIF(项目基本情况!D$15:I$15,C8,项目基本情况!D$17:I$17))</f>
        <v>67107</v>
      </c>
      <c r="F8" s="174">
        <f>SUMIF(项目基本情况!D$15:I$15,C8,项目基本情况!D$19:I$19)</f>
        <v>64.489999999999995</v>
      </c>
      <c r="G8" s="175">
        <f t="shared" si="2"/>
        <v>0.98699999999999999</v>
      </c>
      <c r="H8" s="2976">
        <v>4.4999999999999998E-2</v>
      </c>
      <c r="I8" s="2976">
        <v>0.05</v>
      </c>
      <c r="J8" s="176"/>
      <c r="K8" s="179">
        <f>SUMIF('数据-汇总表'!C$19:C$33,'数据-取费表'!A8,'数据-汇总表'!E$19:E$33)</f>
        <v>0</v>
      </c>
      <c r="L8" s="2977">
        <v>2400</v>
      </c>
      <c r="M8" s="177">
        <f>ROUND(K8*L8/10000,0)</f>
        <v>0</v>
      </c>
      <c r="N8" s="2978">
        <v>0</v>
      </c>
      <c r="O8" s="177">
        <f t="shared" si="3"/>
        <v>0</v>
      </c>
      <c r="P8" s="178">
        <f t="shared" si="4"/>
        <v>0</v>
      </c>
      <c r="Q8" s="2979">
        <v>0.15</v>
      </c>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0.94099999999999995</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高层</v>
      </c>
      <c r="B9" s="2320" t="str">
        <f t="shared" si="1"/>
        <v>经营性</v>
      </c>
      <c r="C9" s="173" t="s">
        <v>923</v>
      </c>
      <c r="D9" s="2291">
        <f>SUMIF(项目基本情况!D$15:I$15,C9,项目基本情况!D$18:I$18)</f>
        <v>70</v>
      </c>
      <c r="E9" s="2292">
        <f>IF(B9="","",SUMIF(项目基本情况!D$15:I$15,C9,项目基本情况!D$17:I$17))</f>
        <v>67107</v>
      </c>
      <c r="F9" s="174">
        <f>SUMIF(项目基本情况!D$15:I$15,C9,项目基本情况!D$19:I$19)</f>
        <v>64.489999999999995</v>
      </c>
      <c r="G9" s="175">
        <f t="shared" si="2"/>
        <v>0.98699999999999999</v>
      </c>
      <c r="H9" s="176">
        <v>4.4999999999999998E-2</v>
      </c>
      <c r="I9" s="2976">
        <v>0.05</v>
      </c>
      <c r="J9" s="176"/>
      <c r="K9" s="179">
        <f>SUMIF('数据-汇总表'!C$19:C$33,'数据-取费表'!A9,'数据-汇总表'!E$19:E$33)</f>
        <v>0</v>
      </c>
      <c r="L9" s="193">
        <v>2400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0.94099999999999995</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0.05</v>
      </c>
      <c r="I16" s="204"/>
      <c r="J16" s="204"/>
      <c r="K16" s="205">
        <f>SUM(K6:K15)</f>
        <v>311402</v>
      </c>
      <c r="L16" s="206">
        <f>ROUND(M16*10000/SUM(K6:K14),0)</f>
        <v>3500</v>
      </c>
      <c r="M16" s="206">
        <f>SUM(M6:M14)</f>
        <v>108991</v>
      </c>
      <c r="N16" s="207">
        <f>ROUND(SUMPRODUCT(M6:M14,N6:N14)/M16,3)</f>
        <v>0</v>
      </c>
      <c r="O16" s="206">
        <f>SUM(O6:O14)</f>
        <v>0</v>
      </c>
      <c r="P16" s="206">
        <f>SUM(P6:P14)</f>
        <v>108991</v>
      </c>
      <c r="Q16" s="208">
        <f>ROUND(SUMPRODUCT(Q6:Q13,K6:K13)/SUMPRODUCT((Q6:Q13&gt;0)*(K6:K13)),2)</f>
        <v>0.1</v>
      </c>
      <c r="R16" s="2294">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0.81399999999999995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188" t="s">
        <v>3266</v>
      </c>
      <c r="L18" s="3347" t="s">
        <v>3267</v>
      </c>
      <c r="M18" s="3347"/>
      <c r="N18" s="3347"/>
      <c r="O18" s="3348" t="s">
        <v>3268</v>
      </c>
      <c r="P18" s="3348"/>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189"/>
      <c r="L19" s="3190" t="s">
        <v>3269</v>
      </c>
      <c r="M19" s="3190" t="s">
        <v>3261</v>
      </c>
      <c r="N19" s="3190" t="s">
        <v>3263</v>
      </c>
      <c r="O19" s="3349"/>
      <c r="P19" s="3349"/>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5</v>
      </c>
      <c r="C20" s="2326" t="s">
        <v>2335</v>
      </c>
      <c r="D20" s="1976"/>
      <c r="E20" s="1975"/>
      <c r="F20" s="1975"/>
      <c r="G20" s="1975"/>
      <c r="H20" s="1975"/>
      <c r="I20" s="1975"/>
      <c r="J20" s="1975"/>
      <c r="K20" s="3191" t="s">
        <v>3270</v>
      </c>
      <c r="L20" s="3192">
        <v>1598</v>
      </c>
      <c r="M20" s="3192">
        <v>1998</v>
      </c>
      <c r="N20" s="3192">
        <v>2321</v>
      </c>
      <c r="O20" s="3350"/>
      <c r="P20" s="3350"/>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5" thickBot="1">
      <c r="A27" s="226" t="s">
        <v>2338</v>
      </c>
      <c r="B27" s="227">
        <v>400</v>
      </c>
      <c r="C27" s="3024" t="s">
        <v>3272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7">
        <v>400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8"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3">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4">
        <v>0.05</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f>B30</f>
        <v>250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0.03</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2);"/>
    <hyperlink ref="O20:P20" r:id="rId2" display="javascript:top.main.DataEdit('37',22);"/>
  </hyperlinks>
  <pageMargins left="0.7" right="0.7" top="0.75" bottom="0.75" header="0.3" footer="0.3"/>
  <pageSetup paperSize="9" scale="24" fitToHeight="0" orientation="portrait"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51" t="s">
        <v>1663</v>
      </c>
      <c r="B1" s="3352"/>
      <c r="C1" s="3352"/>
      <c r="D1" s="3352"/>
      <c r="E1" s="3352"/>
      <c r="F1" s="3352"/>
      <c r="G1" s="3352"/>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2545</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2546</v>
      </c>
      <c r="G6" s="3033" t="s">
        <v>2914</v>
      </c>
      <c r="H6" s="1991"/>
      <c r="I6" s="1991"/>
      <c r="J6" s="1991"/>
      <c r="K6" s="1991"/>
      <c r="L6" s="1991"/>
      <c r="M6" s="1991"/>
      <c r="N6" s="1991"/>
      <c r="O6" s="1991"/>
      <c r="P6" s="1991"/>
      <c r="Q6" s="1991"/>
      <c r="R6" s="1991"/>
    </row>
    <row r="7" spans="1:18" ht="41.25" thickBot="1">
      <c r="A7" s="1225"/>
      <c r="B7" s="1227" t="s">
        <v>2545</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2546</v>
      </c>
      <c r="C8" s="3033" t="s">
        <v>2914</v>
      </c>
      <c r="D8" s="1993"/>
      <c r="E8" s="1993"/>
      <c r="F8" s="1539"/>
      <c r="G8" s="1539"/>
      <c r="H8" s="1991"/>
      <c r="I8" s="1991"/>
      <c r="J8" s="1991"/>
      <c r="K8" s="1991"/>
      <c r="L8" s="1991"/>
      <c r="M8" s="1991"/>
      <c r="N8" s="1991"/>
      <c r="O8" s="1991"/>
      <c r="P8" s="1991"/>
      <c r="Q8" s="1991"/>
      <c r="R8" s="1991"/>
    </row>
    <row r="9" spans="1:18" ht="40.5">
      <c r="A9" s="1225"/>
      <c r="B9" s="1227" t="s">
        <v>1656</v>
      </c>
      <c r="C9" s="3032" t="s">
        <v>2915</v>
      </c>
      <c r="D9" s="1992"/>
      <c r="E9" s="1993"/>
      <c r="F9" s="1539"/>
      <c r="G9" s="1539"/>
      <c r="H9" s="1991"/>
      <c r="I9" s="1991"/>
      <c r="J9" s="1991"/>
      <c r="K9" s="1991"/>
      <c r="L9" s="1991"/>
      <c r="M9" s="1991"/>
      <c r="N9" s="1991"/>
      <c r="O9" s="1991"/>
      <c r="P9" s="1991"/>
      <c r="Q9" s="1991"/>
      <c r="R9" s="1991"/>
    </row>
    <row r="10" spans="1:18" s="1999" customFormat="1" ht="15" thickBot="1">
      <c r="A10" s="1232"/>
      <c r="B10" s="1233" t="s">
        <v>1671</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2545</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2546</v>
      </c>
      <c r="G20" s="1005" t="str">
        <f>G6</f>
        <v>估价对象所在区域基础设施水平</v>
      </c>
    </row>
    <row r="21" spans="1:7" ht="27">
      <c r="A21" s="2551"/>
      <c r="B21" s="1227" t="s">
        <v>2545</v>
      </c>
      <c r="C21" s="1005" t="str">
        <f>C7</f>
        <v>估价对象所在区域公共配套设施齐备情况</v>
      </c>
      <c r="D21" s="1992"/>
      <c r="E21" s="2548"/>
      <c r="F21" s="1243" t="s">
        <v>1661</v>
      </c>
      <c r="G21" s="3037"/>
    </row>
    <row r="22" spans="1:7" ht="27">
      <c r="A22" s="2551"/>
      <c r="B22" s="1227" t="s">
        <v>2546</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2995" t="s">
        <v>2842</v>
      </c>
      <c r="B1" s="2995">
        <f>SUM(B14:B23)</f>
        <v>2548130</v>
      </c>
      <c r="C1" s="2996"/>
      <c r="D1" s="2996"/>
      <c r="E1" s="2996"/>
      <c r="F1" s="2996"/>
    </row>
    <row r="2" spans="1:9" ht="16.5">
      <c r="A2" s="2995" t="s">
        <v>2843</v>
      </c>
      <c r="B2" s="2995">
        <f>SUM(C14:C23)</f>
        <v>1775423</v>
      </c>
      <c r="C2" s="2996"/>
      <c r="D2" s="2996"/>
      <c r="E2" s="2996"/>
      <c r="F2" s="2996"/>
    </row>
    <row r="3" spans="1:9" ht="16.5">
      <c r="A3" s="2995" t="s">
        <v>2844</v>
      </c>
      <c r="B3" s="2997">
        <f>项目基本情况!D3</f>
        <v>43565</v>
      </c>
      <c r="C3" s="2996"/>
      <c r="D3" s="2996"/>
      <c r="E3" s="2996"/>
      <c r="F3" s="2996"/>
    </row>
    <row r="4" spans="1:9" ht="33">
      <c r="A4" s="2995" t="s">
        <v>2845</v>
      </c>
      <c r="B4" s="2995" t="s">
        <v>2846</v>
      </c>
      <c r="C4" s="2995" t="s">
        <v>2847</v>
      </c>
      <c r="D4" s="2995" t="s">
        <v>2848</v>
      </c>
      <c r="E4" s="2996"/>
      <c r="F4" s="2996"/>
    </row>
    <row r="5" spans="1:9" ht="16.5">
      <c r="A5" s="2995" t="s">
        <v>2849</v>
      </c>
      <c r="B5" s="2995">
        <f ca="1">SUM(D14:D23)</f>
        <v>499448</v>
      </c>
      <c r="C5" s="2995">
        <f ca="1">ROUND(B5*10000/$B$1,0)</f>
        <v>1960</v>
      </c>
      <c r="D5" s="2995">
        <f ca="1">ROUND(B5*10000/$B$2,0)</f>
        <v>2813</v>
      </c>
      <c r="E5" s="2996"/>
      <c r="F5" s="2996"/>
    </row>
    <row r="6" spans="1:9" ht="16.5">
      <c r="A6" s="2995" t="s">
        <v>2850</v>
      </c>
      <c r="B6" s="2995">
        <f ca="1">SUM(G14:G23)</f>
        <v>499448</v>
      </c>
      <c r="C6" s="2995">
        <f t="shared" ref="C6:C8" ca="1" si="0">ROUND(B6*10000/$B$1,0)</f>
        <v>1960</v>
      </c>
      <c r="D6" s="2995">
        <f t="shared" ref="D6:D8" ca="1" si="1">ROUND(B6*10000/$B$2,0)</f>
        <v>2813</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311402</v>
      </c>
      <c r="C14" s="2999">
        <f>结果表!K38</f>
        <v>259503</v>
      </c>
      <c r="D14" s="2999">
        <f ca="1">结果表!C42</f>
        <v>54950</v>
      </c>
      <c r="E14" s="2999">
        <f ca="1">ROUND(D14*10000/B14,0)</f>
        <v>1765</v>
      </c>
      <c r="F14" s="2999">
        <f ca="1">ROUND(D14*10000/C14,0)</f>
        <v>2118</v>
      </c>
      <c r="G14" s="2999">
        <f ca="1">结果表!C44</f>
        <v>54950</v>
      </c>
      <c r="H14" s="2999" t="str">
        <f>结果表!C45</f>
        <v>——</v>
      </c>
      <c r="I14" s="2999" t="str">
        <f>结果表!C46</f>
        <v>——</v>
      </c>
    </row>
    <row r="15" spans="1:9" ht="16.5">
      <c r="A15" s="3002" t="s">
        <v>2859</v>
      </c>
      <c r="B15" s="3003">
        <f>[3]系统读取表!$B$14</f>
        <v>189709</v>
      </c>
      <c r="C15" s="3003">
        <f>[3]系统读取表!$C$14</f>
        <v>158092</v>
      </c>
      <c r="D15" s="3003">
        <f ca="1">[3]系统读取表!$D$14</f>
        <v>37638</v>
      </c>
      <c r="E15" s="2999">
        <f t="shared" ref="E15:E23" ca="1" si="2">ROUND(D15*10000/B15,0)</f>
        <v>1984</v>
      </c>
      <c r="F15" s="2999">
        <f t="shared" ref="F15:F23" ca="1" si="3">ROUND(D15*10000/C15,0)</f>
        <v>2381</v>
      </c>
      <c r="G15" s="3000">
        <f ca="1">[3]系统读取表!$G$14</f>
        <v>37638</v>
      </c>
      <c r="H15" s="3000"/>
      <c r="I15" s="3003"/>
    </row>
    <row r="16" spans="1:9" ht="16.5">
      <c r="A16" s="3002" t="s">
        <v>2860</v>
      </c>
      <c r="B16" s="3003">
        <f>[4]系统读取表!$B$14</f>
        <v>303892</v>
      </c>
      <c r="C16" s="3003">
        <f>[4]系统读取表!$C$14</f>
        <v>202595</v>
      </c>
      <c r="D16" s="3003">
        <f ca="1">[4]系统读取表!$D$14</f>
        <v>57758</v>
      </c>
      <c r="E16" s="2999">
        <f t="shared" ca="1" si="2"/>
        <v>1901</v>
      </c>
      <c r="F16" s="2999">
        <f t="shared" ca="1" si="3"/>
        <v>2851</v>
      </c>
      <c r="G16" s="3000">
        <f ca="1">[4]系统读取表!$G$14</f>
        <v>57758</v>
      </c>
      <c r="H16" s="3000"/>
      <c r="I16" s="3003"/>
    </row>
    <row r="17" spans="1:9" ht="16.5">
      <c r="A17" s="3002" t="s">
        <v>2861</v>
      </c>
      <c r="B17" s="3003">
        <f>[5]系统读取表!$B$14</f>
        <v>391834</v>
      </c>
      <c r="C17" s="3003">
        <f>[5]系统读取表!$C$14</f>
        <v>217686</v>
      </c>
      <c r="D17" s="3003">
        <f ca="1">[5]系统读取表!$D$14</f>
        <v>75807</v>
      </c>
      <c r="E17" s="2999">
        <f t="shared" ca="1" si="2"/>
        <v>1935</v>
      </c>
      <c r="F17" s="2999">
        <f t="shared" ca="1" si="3"/>
        <v>3482</v>
      </c>
      <c r="G17" s="3000">
        <f ca="1">[5]系统读取表!$G$14</f>
        <v>75807</v>
      </c>
      <c r="H17" s="3000"/>
      <c r="I17" s="3003"/>
    </row>
    <row r="18" spans="1:9" ht="16.5">
      <c r="A18" s="3002" t="s">
        <v>2862</v>
      </c>
      <c r="B18" s="3003">
        <f>[6]系统读取表!$B$14</f>
        <v>220857</v>
      </c>
      <c r="C18" s="3003">
        <f>[6]系统读取表!$C$14</f>
        <v>184048</v>
      </c>
      <c r="D18" s="3003">
        <f ca="1">[6]系统读取表!$D$14</f>
        <v>46631</v>
      </c>
      <c r="E18" s="2999">
        <f t="shared" ca="1" si="2"/>
        <v>2111</v>
      </c>
      <c r="F18" s="2999">
        <f t="shared" ca="1" si="3"/>
        <v>2534</v>
      </c>
      <c r="G18" s="3569">
        <f ca="1">[6]系统读取表!$G$14</f>
        <v>46631</v>
      </c>
      <c r="H18" s="3003"/>
      <c r="I18" s="3003"/>
    </row>
    <row r="19" spans="1:9" ht="16.5">
      <c r="A19" s="3002" t="s">
        <v>2863</v>
      </c>
      <c r="B19" s="3003">
        <f>[7]系统读取表!$B$14</f>
        <v>678725</v>
      </c>
      <c r="C19" s="3003">
        <f>[7]系统读取表!$C$14</f>
        <v>377071</v>
      </c>
      <c r="D19" s="3003">
        <f ca="1">[7]系统读取表!$D$14</f>
        <v>131297</v>
      </c>
      <c r="E19" s="2999">
        <f t="shared" ca="1" si="2"/>
        <v>1934</v>
      </c>
      <c r="F19" s="2999">
        <f t="shared" ca="1" si="3"/>
        <v>3482</v>
      </c>
      <c r="G19" s="3569">
        <f ca="1">[7]系统读取表!$G$14</f>
        <v>131297</v>
      </c>
      <c r="H19" s="3003"/>
      <c r="I19" s="3003"/>
    </row>
    <row r="20" spans="1:9" ht="16.5">
      <c r="A20" s="3002" t="s">
        <v>2864</v>
      </c>
      <c r="B20" s="3003">
        <f>[8]系统读取表!$B$14</f>
        <v>451711</v>
      </c>
      <c r="C20" s="3003">
        <f>[8]系统读取表!$C$14</f>
        <v>376428</v>
      </c>
      <c r="D20" s="3003">
        <f ca="1">[8]系统读取表!$D$14</f>
        <v>95367</v>
      </c>
      <c r="E20" s="2999">
        <f t="shared" ca="1" si="2"/>
        <v>2111</v>
      </c>
      <c r="F20" s="2999">
        <f t="shared" ca="1" si="3"/>
        <v>2533</v>
      </c>
      <c r="G20" s="3569">
        <f ca="1">[8]系统读取表!$G$14</f>
        <v>95367</v>
      </c>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25" zoomScaleNormal="100" zoomScaleSheetLayoutView="100" zoomScalePageLayoutView="80" workbookViewId="0">
      <selection activeCell="G44" sqref="D44:G4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2055</v>
      </c>
      <c r="B1" s="1760"/>
      <c r="C1" s="1788" t="s">
        <v>2056</v>
      </c>
      <c r="D1" s="1789" t="s">
        <v>3282</v>
      </c>
      <c r="E1" s="1788" t="s">
        <v>2057</v>
      </c>
      <c r="F1" s="1790" t="s">
        <v>3283</v>
      </c>
      <c r="G1" s="311"/>
      <c r="H1" s="311"/>
      <c r="I1" s="311"/>
      <c r="J1" s="2012"/>
      <c r="K1" s="2012"/>
      <c r="L1" s="2012"/>
      <c r="M1" s="2012"/>
      <c r="N1" s="2012"/>
      <c r="O1" s="2012"/>
      <c r="P1" s="2012"/>
      <c r="Q1" s="2012"/>
      <c r="R1" s="2012"/>
      <c r="S1" s="2012"/>
      <c r="T1" s="2012"/>
      <c r="U1" s="2012"/>
      <c r="V1" s="2012"/>
    </row>
    <row r="2" spans="1:22" ht="21.75" customHeight="1" thickBot="1">
      <c r="A2" s="3389" t="str">
        <f>项目基本情况!K2</f>
        <v>山东省青岛市即墨区田横度假区滨海公路共29宗住宅、商业用地出让国有建设用地使用权</v>
      </c>
      <c r="B2" s="3390"/>
      <c r="C2" s="3391"/>
      <c r="D2" s="3391"/>
      <c r="E2" s="3391"/>
      <c r="F2" s="3391"/>
      <c r="G2" s="3390"/>
      <c r="H2" s="3390"/>
      <c r="I2" s="3392"/>
      <c r="J2" s="2013"/>
      <c r="K2" s="2012"/>
      <c r="L2" s="2012"/>
      <c r="M2" s="2012"/>
      <c r="N2" s="2012"/>
      <c r="O2" s="2012"/>
      <c r="P2" s="2012"/>
      <c r="Q2" s="2012"/>
      <c r="R2" s="2012"/>
      <c r="S2" s="2012"/>
      <c r="T2" s="2012"/>
      <c r="U2" s="2012"/>
      <c r="V2" s="2012"/>
    </row>
    <row r="3" spans="1:22" ht="14.25">
      <c r="A3" s="3382" t="s">
        <v>298</v>
      </c>
      <c r="B3" s="3383"/>
      <c r="C3" s="3383"/>
      <c r="D3" s="3383"/>
      <c r="E3" s="3383"/>
      <c r="F3" s="3383"/>
      <c r="G3" s="3383"/>
      <c r="H3" s="3383"/>
      <c r="I3" s="3383"/>
      <c r="J3" s="2013"/>
      <c r="K3" s="2012"/>
      <c r="L3" s="2012"/>
      <c r="M3" s="2012"/>
      <c r="N3" s="2012"/>
      <c r="O3" s="2012"/>
      <c r="P3" s="2012"/>
      <c r="Q3" s="2012"/>
      <c r="R3" s="2012"/>
      <c r="S3" s="2012"/>
      <c r="T3" s="2012"/>
      <c r="U3" s="2012"/>
      <c r="V3" s="2012"/>
    </row>
    <row r="4" spans="1:22" ht="14.25">
      <c r="A4" s="258" t="s">
        <v>299</v>
      </c>
      <c r="B4" s="259" t="s">
        <v>300</v>
      </c>
      <c r="C4" s="260" t="s">
        <v>3280</v>
      </c>
      <c r="D4" s="260" t="s">
        <v>3281</v>
      </c>
      <c r="E4" s="3354" t="s">
        <v>301</v>
      </c>
      <c r="F4" s="3355"/>
      <c r="G4" s="3355"/>
      <c r="H4" s="3355"/>
      <c r="I4" s="3384"/>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53" t="s">
        <v>302</v>
      </c>
      <c r="B5" s="3379">
        <v>25</v>
      </c>
      <c r="C5" s="3377"/>
      <c r="D5" s="3381"/>
      <c r="E5" s="261" t="s">
        <v>303</v>
      </c>
      <c r="F5" s="262"/>
      <c r="G5" s="262"/>
      <c r="H5" s="262"/>
      <c r="I5" s="263"/>
      <c r="J5" s="2013"/>
      <c r="K5" s="2012"/>
      <c r="L5" s="2012"/>
      <c r="M5" s="2012"/>
      <c r="N5" s="2012"/>
      <c r="O5" s="2012"/>
      <c r="P5" s="2012"/>
      <c r="Q5" s="2012"/>
      <c r="R5" s="2012"/>
      <c r="S5" s="2012"/>
      <c r="T5" s="2012"/>
      <c r="U5" s="2012"/>
      <c r="V5" s="2012"/>
    </row>
    <row r="6" spans="1:22" ht="14.25">
      <c r="A6" s="3353"/>
      <c r="B6" s="3379"/>
      <c r="C6" s="3380"/>
      <c r="D6" s="3381"/>
      <c r="E6" s="261" t="s">
        <v>304</v>
      </c>
      <c r="F6" s="262"/>
      <c r="G6" s="262"/>
      <c r="H6" s="262"/>
      <c r="I6" s="263"/>
      <c r="J6" s="2013"/>
      <c r="K6" s="2012"/>
      <c r="L6" s="2012"/>
      <c r="M6" s="2012"/>
      <c r="N6" s="2012"/>
      <c r="O6" s="2012"/>
      <c r="P6" s="2012"/>
      <c r="Q6" s="2012"/>
      <c r="R6" s="2012"/>
      <c r="S6" s="2012"/>
      <c r="T6" s="2012"/>
      <c r="U6" s="2012"/>
      <c r="V6" s="2012"/>
    </row>
    <row r="7" spans="1:22" ht="14.25">
      <c r="A7" s="3353"/>
      <c r="B7" s="3379"/>
      <c r="C7" s="3378"/>
      <c r="D7" s="3381"/>
      <c r="E7" s="261" t="s">
        <v>305</v>
      </c>
      <c r="F7" s="262"/>
      <c r="G7" s="262"/>
      <c r="H7" s="262"/>
      <c r="I7" s="263"/>
      <c r="J7" s="2013"/>
      <c r="K7" s="2012"/>
      <c r="L7" s="2012"/>
      <c r="M7" s="2012"/>
      <c r="N7" s="2012"/>
      <c r="O7" s="2012"/>
      <c r="P7" s="2012"/>
      <c r="Q7" s="2012"/>
      <c r="R7" s="2012"/>
      <c r="S7" s="2012"/>
      <c r="T7" s="2012"/>
      <c r="U7" s="2012"/>
      <c r="V7" s="2012"/>
    </row>
    <row r="8" spans="1:22" ht="14.25">
      <c r="A8" s="3353" t="s">
        <v>306</v>
      </c>
      <c r="B8" s="3379">
        <v>15</v>
      </c>
      <c r="C8" s="3377"/>
      <c r="D8" s="3381"/>
      <c r="E8" s="261" t="s">
        <v>307</v>
      </c>
      <c r="F8" s="262"/>
      <c r="G8" s="262"/>
      <c r="H8" s="262"/>
      <c r="I8" s="263"/>
      <c r="J8" s="2013"/>
      <c r="K8" s="2012"/>
      <c r="L8" s="2012"/>
      <c r="M8" s="2012"/>
      <c r="N8" s="2012"/>
      <c r="O8" s="2012"/>
      <c r="P8" s="2012"/>
      <c r="Q8" s="2012"/>
      <c r="R8" s="2012"/>
      <c r="S8" s="2012"/>
      <c r="T8" s="2012"/>
      <c r="U8" s="2012"/>
      <c r="V8" s="2012"/>
    </row>
    <row r="9" spans="1:22" ht="14.25">
      <c r="A9" s="3353"/>
      <c r="B9" s="3379"/>
      <c r="C9" s="3378"/>
      <c r="D9" s="3381"/>
      <c r="E9" s="261" t="s">
        <v>308</v>
      </c>
      <c r="F9" s="262"/>
      <c r="G9" s="262"/>
      <c r="H9" s="262"/>
      <c r="I9" s="263"/>
      <c r="J9" s="2013"/>
      <c r="K9" s="2012"/>
      <c r="L9" s="2012"/>
      <c r="M9" s="2012"/>
      <c r="N9" s="2012"/>
      <c r="O9" s="2012"/>
      <c r="P9" s="2012"/>
      <c r="Q9" s="2012"/>
      <c r="R9" s="2012"/>
      <c r="S9" s="2012"/>
      <c r="T9" s="2012"/>
      <c r="U9" s="2012"/>
      <c r="V9" s="2012"/>
    </row>
    <row r="10" spans="1:22" ht="14.25">
      <c r="A10" s="3353" t="s">
        <v>309</v>
      </c>
      <c r="B10" s="3379">
        <v>15</v>
      </c>
      <c r="C10" s="3377"/>
      <c r="D10" s="3381"/>
      <c r="E10" s="261" t="s">
        <v>310</v>
      </c>
      <c r="F10" s="262"/>
      <c r="G10" s="262"/>
      <c r="H10" s="262"/>
      <c r="I10" s="263"/>
      <c r="J10" s="2013"/>
      <c r="K10" s="2012"/>
      <c r="L10" s="2012"/>
      <c r="M10" s="2012"/>
      <c r="N10" s="2012"/>
      <c r="O10" s="2012"/>
      <c r="P10" s="2012"/>
      <c r="Q10" s="2012"/>
      <c r="R10" s="2012"/>
      <c r="S10" s="2012"/>
      <c r="T10" s="2012"/>
      <c r="U10" s="2012"/>
      <c r="V10" s="2012"/>
    </row>
    <row r="11" spans="1:22" ht="14.25">
      <c r="A11" s="3353"/>
      <c r="B11" s="3379"/>
      <c r="C11" s="3378"/>
      <c r="D11" s="3381"/>
      <c r="E11" s="261" t="s">
        <v>311</v>
      </c>
      <c r="F11" s="262"/>
      <c r="G11" s="262"/>
      <c r="H11" s="262"/>
      <c r="I11" s="263"/>
      <c r="J11" s="2013"/>
      <c r="K11" s="2012"/>
      <c r="L11" s="2012"/>
      <c r="M11" s="2012"/>
      <c r="N11" s="2012"/>
      <c r="O11" s="2012"/>
      <c r="P11" s="2012"/>
      <c r="Q11" s="2012"/>
      <c r="R11" s="2012"/>
      <c r="S11" s="2012"/>
      <c r="T11" s="2012"/>
      <c r="U11" s="2012"/>
      <c r="V11" s="2012"/>
    </row>
    <row r="12" spans="1:22" ht="14.25">
      <c r="A12" s="3353" t="s">
        <v>312</v>
      </c>
      <c r="B12" s="3379">
        <v>15</v>
      </c>
      <c r="C12" s="3377"/>
      <c r="D12" s="3381"/>
      <c r="E12" s="261" t="s">
        <v>313</v>
      </c>
      <c r="F12" s="262"/>
      <c r="G12" s="262"/>
      <c r="H12" s="262"/>
      <c r="I12" s="263"/>
      <c r="J12" s="2013"/>
      <c r="K12" s="2012"/>
      <c r="L12" s="2012"/>
      <c r="M12" s="2012"/>
      <c r="N12" s="2012"/>
      <c r="O12" s="2012"/>
      <c r="P12" s="2012"/>
      <c r="Q12" s="2012"/>
      <c r="R12" s="2012"/>
      <c r="S12" s="2012"/>
      <c r="T12" s="2012"/>
      <c r="U12" s="2012"/>
      <c r="V12" s="2012"/>
    </row>
    <row r="13" spans="1:22" ht="14.25">
      <c r="A13" s="3353"/>
      <c r="B13" s="3379"/>
      <c r="C13" s="3378"/>
      <c r="D13" s="3381"/>
      <c r="E13" s="261" t="s">
        <v>314</v>
      </c>
      <c r="F13" s="262"/>
      <c r="G13" s="262"/>
      <c r="H13" s="262"/>
      <c r="I13" s="263"/>
      <c r="J13" s="2013"/>
      <c r="K13" s="2012"/>
      <c r="L13" s="2012"/>
      <c r="M13" s="2012"/>
      <c r="N13" s="2012"/>
      <c r="O13" s="2012"/>
      <c r="P13" s="2012"/>
      <c r="Q13" s="2012"/>
      <c r="R13" s="2012"/>
      <c r="S13" s="2012"/>
      <c r="T13" s="2012"/>
      <c r="U13" s="2012"/>
      <c r="V13" s="2012"/>
    </row>
    <row r="14" spans="1:22" ht="14.25">
      <c r="A14" s="3353" t="s">
        <v>315</v>
      </c>
      <c r="B14" s="3379">
        <v>30</v>
      </c>
      <c r="C14" s="3377">
        <v>5</v>
      </c>
      <c r="D14" s="3381">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53"/>
      <c r="B15" s="3379"/>
      <c r="C15" s="3380"/>
      <c r="D15" s="3381"/>
      <c r="E15" s="261" t="s">
        <v>317</v>
      </c>
      <c r="F15" s="262"/>
      <c r="G15" s="262"/>
      <c r="H15" s="262"/>
      <c r="I15" s="263"/>
      <c r="J15" s="2013"/>
      <c r="K15" s="2012"/>
      <c r="L15" s="2012"/>
      <c r="M15" s="2012"/>
      <c r="N15" s="2012"/>
      <c r="O15" s="2012"/>
      <c r="P15" s="2012"/>
      <c r="Q15" s="2012"/>
      <c r="R15" s="2012"/>
      <c r="S15" s="2012"/>
      <c r="T15" s="2012"/>
      <c r="U15" s="2012"/>
      <c r="V15" s="2012"/>
    </row>
    <row r="16" spans="1:22" ht="14.25">
      <c r="A16" s="3353"/>
      <c r="B16" s="3379"/>
      <c r="C16" s="3378"/>
      <c r="D16" s="3381"/>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54215</v>
      </c>
      <c r="D19" s="271">
        <f ca="1">SUMIF(INDIRECT("'"&amp;D4&amp;"'"&amp;"!A:A"),结果表!B19,INDIRECT("'"&amp;D4&amp;"'"&amp;"!B:B"))</f>
        <v>55685</v>
      </c>
      <c r="E19" s="268" t="s">
        <v>323</v>
      </c>
      <c r="F19" s="269" t="s">
        <v>322</v>
      </c>
      <c r="G19" s="272">
        <f ca="1">ROUND(C19*$C$18+D19*$D$18,0)</f>
        <v>54950</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1741</v>
      </c>
      <c r="D20" s="277">
        <f ca="1">SUMIF(INDIRECT("'"&amp;D4&amp;"'"&amp;"!A:A"),结果表!B20,INDIRECT("'"&amp;D4&amp;"'"&amp;"!B:B"))</f>
        <v>1788</v>
      </c>
      <c r="E20" s="274"/>
      <c r="F20" s="275" t="s">
        <v>325</v>
      </c>
      <c r="G20" s="278">
        <f ca="1">ROUND(C20*$C$18+D20*$D$18,0)</f>
        <v>1765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2089</v>
      </c>
      <c r="D21" s="151">
        <f ca="1">SUMIF(INDIRECT("'"&amp;D4&amp;"'"&amp;"!A:A"),结果表!B21,INDIRECT("'"&amp;D4&amp;"'"&amp;"!B:B"))</f>
        <v>2146</v>
      </c>
      <c r="E21" s="274"/>
      <c r="F21" s="280" t="s">
        <v>327</v>
      </c>
      <c r="G21" s="282">
        <f ca="1">ROUND(C21*$C$18+D21*$D$18,0)</f>
        <v>2118</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2.7114267269205961E-2</v>
      </c>
      <c r="E22" s="284"/>
      <c r="F22" s="285"/>
      <c r="G22" s="286">
        <f ca="1">ROUND(G19/('数据-汇总表'!D3/666.67),0)</f>
        <v>141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26.25" customHeight="1" thickBot="1">
      <c r="A24" s="3359"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26.25" customHeight="1">
      <c r="A25" s="3360"/>
      <c r="B25" s="1317" t="s">
        <v>331</v>
      </c>
      <c r="C25" s="290">
        <f>IF(B30=0,0,C30)</f>
        <v>0</v>
      </c>
      <c r="D25" s="291"/>
      <c r="E25" s="311"/>
      <c r="F25" s="311"/>
      <c r="G25" s="311"/>
      <c r="H25" s="311"/>
      <c r="I25" s="311"/>
      <c r="J25" s="2012"/>
      <c r="K25" s="1251" t="str">
        <f ca="1">项目基本情况!B16&amp;"国有建设用地使用权价格："&amp;O38&amp;"万元"</f>
        <v>出让国有建设用地使用权价格：54950万元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大写金额：人民币伍亿肆仟玖佰伍拾万元整</v>
      </c>
      <c r="L26" s="1248"/>
      <c r="M26" s="1248"/>
      <c r="N26" s="1248"/>
      <c r="O26" s="1247"/>
      <c r="P26" s="2012"/>
      <c r="Q26" s="2012"/>
      <c r="R26" s="2012"/>
      <c r="S26" s="2012"/>
      <c r="T26" s="2012"/>
      <c r="U26" s="2012"/>
      <c r="V26" s="2012"/>
      <c r="W26" s="292"/>
      <c r="X26" s="292"/>
      <c r="Y26" s="292"/>
      <c r="Z26" s="292"/>
    </row>
    <row r="27" spans="1:26" ht="18">
      <c r="A27" s="3211" t="s">
        <v>3597</v>
      </c>
      <c r="B27" s="294">
        <f>'数据-汇总表'!D3</f>
        <v>259503</v>
      </c>
      <c r="C27" s="294">
        <v>200</v>
      </c>
      <c r="D27" s="295">
        <f>ROUND(B27*C27/10000,0)</f>
        <v>5190</v>
      </c>
      <c r="E27" s="311"/>
      <c r="F27" s="311"/>
      <c r="G27" s="311"/>
      <c r="H27" s="311"/>
      <c r="I27" s="311"/>
      <c r="J27" s="2012"/>
      <c r="K27" s="1254" t="str">
        <f ca="1">"单位面积地价："&amp;M38&amp;"元/平方米"</f>
        <v>单位面积地价：2118元/平方米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楼面地价：1765元/平方米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抵押价格：54950万元</v>
      </c>
      <c r="L29" s="1248"/>
      <c r="M29" s="1248"/>
      <c r="N29" s="1248"/>
      <c r="O29" s="1247"/>
      <c r="P29" s="2012"/>
      <c r="V29" s="2012"/>
    </row>
    <row r="30" spans="1:26" ht="18.75" thickBot="1">
      <c r="A30" s="3080" t="s">
        <v>336</v>
      </c>
      <c r="B30" s="309"/>
      <c r="C30" s="309"/>
      <c r="D30" s="310"/>
      <c r="E30" s="3081" t="s">
        <v>2967</v>
      </c>
      <c r="F30" s="311"/>
      <c r="G30" s="311"/>
      <c r="H30" s="311"/>
      <c r="I30" s="311"/>
      <c r="J30" s="2012"/>
      <c r="K30" s="1254" t="str">
        <f ca="1">IF(K29="——","——","大写金额：人民币"&amp;NUMBERSTRING(INT(O39*10000),2)&amp;"元整")</f>
        <v>大写金额：人民币伍亿肆仟玖佰伍拾万元整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1688</v>
      </c>
      <c r="C32" s="1378">
        <f ca="1">G19-C24</f>
        <v>54950</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1690</v>
      </c>
      <c r="C33" s="264">
        <f ca="1">ROUND(C32*10000/'数据-汇总表'!E3,0)</f>
        <v>1765</v>
      </c>
      <c r="D33" s="1381" t="s">
        <v>1691</v>
      </c>
      <c r="E33" s="3359"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2" t="s">
        <v>1692</v>
      </c>
      <c r="C34" s="264">
        <f ca="1">ROUND(C32*10000/'数据-汇总表'!D3,0)</f>
        <v>2118</v>
      </c>
      <c r="D34" s="1383" t="s">
        <v>1691</v>
      </c>
      <c r="E34" s="3400"/>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141</v>
      </c>
      <c r="D35" s="1386" t="s">
        <v>1693</v>
      </c>
      <c r="E35" s="3401"/>
      <c r="F35" s="301" t="s">
        <v>342</v>
      </c>
      <c r="G35" s="982"/>
      <c r="H35" s="981" t="s">
        <v>343</v>
      </c>
      <c r="I35" s="311"/>
      <c r="J35" s="2012"/>
      <c r="K35" s="3374" t="s">
        <v>350</v>
      </c>
      <c r="L35" s="3374" t="s">
        <v>351</v>
      </c>
      <c r="M35" s="1260" t="s">
        <v>352</v>
      </c>
      <c r="N35" s="3374" t="s">
        <v>353</v>
      </c>
      <c r="O35" s="3374" t="s">
        <v>354</v>
      </c>
      <c r="P35" s="2012"/>
      <c r="V35" s="2012"/>
    </row>
    <row r="36" spans="1:26" ht="16.5" customHeight="1">
      <c r="A36" s="303" t="s">
        <v>344</v>
      </c>
      <c r="B36" s="304" t="s">
        <v>333</v>
      </c>
      <c r="C36" s="305" t="s">
        <v>345</v>
      </c>
      <c r="D36" s="305" t="s">
        <v>346</v>
      </c>
      <c r="E36" s="306" t="s">
        <v>347</v>
      </c>
      <c r="F36" s="311"/>
      <c r="G36" s="311"/>
      <c r="H36" s="311"/>
      <c r="I36" s="311"/>
      <c r="J36" s="2014"/>
      <c r="K36" s="3375"/>
      <c r="L36" s="3375"/>
      <c r="M36" s="1262" t="s">
        <v>355</v>
      </c>
      <c r="N36" s="3375"/>
      <c r="O36" s="3375"/>
      <c r="P36" s="2012"/>
      <c r="V36" s="2012"/>
    </row>
    <row r="37" spans="1:26" ht="16.5" customHeight="1" thickBot="1">
      <c r="A37" s="1256" t="s">
        <v>348</v>
      </c>
      <c r="B37" s="307"/>
      <c r="C37" s="294"/>
      <c r="D37" s="294"/>
      <c r="E37" s="295"/>
      <c r="F37" s="311"/>
      <c r="G37" s="311"/>
      <c r="H37" s="311"/>
      <c r="I37" s="311"/>
      <c r="J37" s="2014"/>
      <c r="K37" s="3376"/>
      <c r="L37" s="3376"/>
      <c r="M37" s="1263"/>
      <c r="N37" s="3376"/>
      <c r="O37" s="3376"/>
      <c r="P37" s="2012"/>
      <c r="V37" s="2012"/>
    </row>
    <row r="38" spans="1:26" ht="16.5" customHeight="1" thickBot="1">
      <c r="A38" s="1256" t="s">
        <v>349</v>
      </c>
      <c r="B38" s="307"/>
      <c r="C38" s="294"/>
      <c r="D38" s="294"/>
      <c r="E38" s="295"/>
      <c r="F38" s="311"/>
      <c r="G38" s="311"/>
      <c r="H38" s="311"/>
      <c r="I38" s="311"/>
      <c r="J38" s="2014"/>
      <c r="K38" s="1264">
        <f>'数据-汇总表'!D3</f>
        <v>259503</v>
      </c>
      <c r="L38" s="1265">
        <f>'数据-汇总表'!E3</f>
        <v>311402</v>
      </c>
      <c r="M38" s="1265">
        <f ca="1">C34</f>
        <v>2118</v>
      </c>
      <c r="N38" s="1265">
        <f ca="1">C33</f>
        <v>1765</v>
      </c>
      <c r="O38" s="1266">
        <f ca="1">C32</f>
        <v>54950</v>
      </c>
      <c r="P38" s="2012"/>
      <c r="V38" s="2012"/>
    </row>
    <row r="39" spans="1:26" ht="16.5" customHeight="1" thickBot="1">
      <c r="A39" s="1261"/>
      <c r="B39" s="308"/>
      <c r="C39" s="309"/>
      <c r="D39" s="309"/>
      <c r="E39" s="310"/>
      <c r="F39" s="311"/>
      <c r="G39" s="311"/>
      <c r="H39" s="311"/>
      <c r="I39" s="311"/>
      <c r="J39" s="2014"/>
      <c r="K39" s="3419" t="str">
        <f>MID(A44,3,LEN(A44)-2)</f>
        <v>抵押价格</v>
      </c>
      <c r="L39" s="3420"/>
      <c r="M39" s="3420"/>
      <c r="N39" s="3421"/>
      <c r="O39" s="1388">
        <f ca="1">C44</f>
        <v>54950</v>
      </c>
      <c r="P39" s="2012"/>
      <c r="V39" s="2012"/>
    </row>
    <row r="40" spans="1:26" ht="19.5" thickBot="1">
      <c r="A40" s="104" t="s">
        <v>873</v>
      </c>
      <c r="B40" s="311"/>
      <c r="C40" s="311"/>
      <c r="D40" s="311"/>
      <c r="E40" s="311"/>
      <c r="F40" s="311"/>
      <c r="G40" s="311"/>
      <c r="H40" s="311"/>
      <c r="I40" s="311"/>
      <c r="J40" s="2014"/>
      <c r="K40" s="3419" t="str">
        <f t="shared" ref="K40:K41" si="0">MID(A45,3,LEN(A45)-2)</f>
        <v/>
      </c>
      <c r="L40" s="3420"/>
      <c r="M40" s="3420"/>
      <c r="N40" s="3421"/>
      <c r="O40" s="1388" t="str">
        <f>C45</f>
        <v>——</v>
      </c>
      <c r="P40" s="2012"/>
      <c r="V40" s="2012"/>
    </row>
    <row r="41" spans="1:26" ht="16.5" thickBot="1">
      <c r="A41" s="312" t="s">
        <v>356</v>
      </c>
      <c r="B41" s="313"/>
      <c r="C41" s="314" t="s">
        <v>357</v>
      </c>
      <c r="D41" s="315" t="s">
        <v>358</v>
      </c>
      <c r="E41" s="315" t="s">
        <v>359</v>
      </c>
      <c r="F41" s="316" t="s">
        <v>360</v>
      </c>
      <c r="G41" s="311"/>
      <c r="H41" s="311"/>
      <c r="I41" s="311"/>
      <c r="J41" s="2014"/>
      <c r="K41" s="3419" t="str">
        <f t="shared" si="0"/>
        <v/>
      </c>
      <c r="L41" s="3420"/>
      <c r="M41" s="3420"/>
      <c r="N41" s="3421"/>
      <c r="O41" s="1388" t="str">
        <f>C46</f>
        <v>——</v>
      </c>
      <c r="P41" s="2012"/>
      <c r="V41" s="2012"/>
    </row>
    <row r="42" spans="1:26" ht="29.25">
      <c r="A42" s="3361" t="s">
        <v>2067</v>
      </c>
      <c r="B42" s="3362"/>
      <c r="C42" s="264">
        <f ca="1">C32</f>
        <v>54950</v>
      </c>
      <c r="D42" s="317">
        <f ca="1">C33</f>
        <v>1765</v>
      </c>
      <c r="E42" s="317">
        <f ca="1">C34</f>
        <v>2118</v>
      </c>
      <c r="F42" s="318">
        <f ca="1">C35</f>
        <v>141</v>
      </c>
      <c r="G42" s="311"/>
      <c r="H42" s="311"/>
      <c r="I42" s="319"/>
      <c r="J42" s="2014"/>
      <c r="K42" s="1267" t="s">
        <v>361</v>
      </c>
      <c r="L42" s="2031" t="s">
        <v>362</v>
      </c>
      <c r="M42" s="1268" t="s">
        <v>363</v>
      </c>
      <c r="N42" s="2032" t="s">
        <v>364</v>
      </c>
      <c r="O42" s="2033" t="s">
        <v>365</v>
      </c>
      <c r="P42" s="2012"/>
      <c r="V42" s="2012"/>
    </row>
    <row r="43" spans="1:26" ht="30">
      <c r="A43" s="3372" t="s">
        <v>2728</v>
      </c>
      <c r="B43" s="3373"/>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54215</v>
      </c>
      <c r="M43" s="1271">
        <f>C18</f>
        <v>0.5</v>
      </c>
      <c r="N43" s="1272">
        <f ca="1">IF(N42="测算结果/万元",G19,G20)</f>
        <v>54950</v>
      </c>
      <c r="O43" s="1273">
        <f ca="1">IF(O42="最终结果/万元",C32,C33)</f>
        <v>54950</v>
      </c>
      <c r="P43" s="2012"/>
      <c r="V43" s="2012"/>
    </row>
    <row r="44" spans="1:26" ht="30.75" thickBot="1">
      <c r="A44" s="3361" t="str">
        <f>IF(OR(项目基本情况!E8="抵押价格",项目基本情况!E8="已注销及未注销"),"3.抵押价格","——")</f>
        <v>3.抵押价格</v>
      </c>
      <c r="B44" s="3362"/>
      <c r="C44" s="264">
        <f ca="1">IF(A44="——","——",C42-C43)</f>
        <v>54950</v>
      </c>
      <c r="D44" s="317">
        <f ca="1">ROUND(C44*10000/'数据-汇总表'!E3,0)</f>
        <v>1765</v>
      </c>
      <c r="E44" s="317">
        <f ca="1">ROUND(C44*10000/'数据-汇总表'!D3,0)</f>
        <v>2118</v>
      </c>
      <c r="F44" s="318">
        <f ca="1">ROUND(C44/('数据-汇总表'!D3/666.67),0)</f>
        <v>141</v>
      </c>
      <c r="G44" s="311"/>
      <c r="H44" s="311"/>
      <c r="I44" s="319"/>
      <c r="J44" s="2014"/>
      <c r="K44" s="1274" t="str">
        <f>D4</f>
        <v>剩余法-待开发</v>
      </c>
      <c r="L44" s="1275">
        <f ca="1">IF(L42="估价结果/万元",D19,D20)</f>
        <v>55685</v>
      </c>
      <c r="M44" s="1276">
        <f>D18</f>
        <v>0.5</v>
      </c>
      <c r="N44" s="1277"/>
      <c r="O44" s="1278"/>
      <c r="P44" s="2012"/>
      <c r="V44" s="2012"/>
    </row>
    <row r="45" spans="1:26" ht="15">
      <c r="A45" s="3367" t="str">
        <f>IF(项目基本情况!E8="已注销及未注销","4.抵押担保权已注销时的抵押价格",IF(项目基本情况!E8="已注销","3.抵押担保权已注销时的抵押价格","——"))</f>
        <v>——</v>
      </c>
      <c r="B45" s="336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3" t="str">
        <f>IF(项目基本情况!E9="抵押净值",IF(A45="——","4.抵押净值","5.抵押净值"),"——")</f>
        <v>——</v>
      </c>
      <c r="B46" s="336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08" t="s">
        <v>374</v>
      </c>
      <c r="B63" s="3409"/>
      <c r="C63" s="3410"/>
      <c r="D63" s="341">
        <f ca="1">ROUND(C42*F63,0)</f>
        <v>54950</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69" t="s">
        <v>378</v>
      </c>
      <c r="B64" s="3370"/>
      <c r="C64" s="3370"/>
      <c r="D64" s="3370"/>
      <c r="E64" s="3370"/>
      <c r="F64" s="3370"/>
      <c r="G64" s="3371"/>
      <c r="H64" s="1284"/>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65" t="s">
        <v>386</v>
      </c>
      <c r="B66" s="3366"/>
      <c r="C66" s="3366"/>
      <c r="D66" s="261">
        <f ca="1">IF(H66="情况1",0,IF(H66="情况2",D70,IF(H66="情况3",D71,IF(H66="情况4",D72))))</f>
        <v>2931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23" t="s">
        <v>385</v>
      </c>
      <c r="M66" s="3424"/>
      <c r="N66" s="2421"/>
      <c r="O66" s="2422"/>
      <c r="P66" s="2423"/>
      <c r="Q66" s="2012"/>
      <c r="R66" s="2012"/>
      <c r="S66" s="2012"/>
      <c r="T66" s="2012"/>
      <c r="U66" s="2012"/>
      <c r="V66" s="2012"/>
    </row>
    <row r="67" spans="1:22" ht="25.5" customHeight="1">
      <c r="A67" s="352" t="s">
        <v>390</v>
      </c>
      <c r="B67" s="3356" t="s">
        <v>391</v>
      </c>
      <c r="C67" s="3356"/>
      <c r="D67" s="353">
        <v>0</v>
      </c>
      <c r="E67" s="41" t="s">
        <v>392</v>
      </c>
      <c r="F67" s="62" t="s">
        <v>21</v>
      </c>
      <c r="G67" s="3411"/>
      <c r="H67" s="311"/>
      <c r="I67" s="1288"/>
      <c r="J67" s="2019"/>
      <c r="K67" s="1960">
        <v>2</v>
      </c>
      <c r="L67" s="3422" t="s">
        <v>389</v>
      </c>
      <c r="M67" s="3422"/>
      <c r="N67" s="1321">
        <f>'数据-取费表'!B2</f>
        <v>43565</v>
      </c>
      <c r="O67" s="1321"/>
      <c r="P67" s="1321"/>
      <c r="Q67" s="2012"/>
      <c r="R67" s="2012"/>
      <c r="S67" s="2012"/>
      <c r="T67" s="2012"/>
      <c r="U67" s="2012"/>
      <c r="V67" s="2012"/>
    </row>
    <row r="68" spans="1:22" ht="25.5" customHeight="1">
      <c r="A68" s="354"/>
      <c r="B68" s="3356" t="s">
        <v>394</v>
      </c>
      <c r="C68" s="3356"/>
      <c r="D68" s="355"/>
      <c r="E68" s="77"/>
      <c r="F68" s="356"/>
      <c r="G68" s="3412"/>
      <c r="H68" s="311"/>
      <c r="I68" s="1288"/>
      <c r="J68" s="2019"/>
      <c r="K68" s="1960">
        <v>3</v>
      </c>
      <c r="L68" s="3422" t="s">
        <v>393</v>
      </c>
      <c r="M68" s="3422"/>
      <c r="N68" s="1289">
        <f ca="1">C42</f>
        <v>54950</v>
      </c>
      <c r="O68" s="1289"/>
      <c r="P68" s="1289"/>
      <c r="Q68" s="2012"/>
      <c r="R68" s="2012"/>
      <c r="S68" s="2012"/>
      <c r="T68" s="2012"/>
      <c r="U68" s="2012"/>
      <c r="V68" s="2012"/>
    </row>
    <row r="69" spans="1:22" ht="12" customHeight="1">
      <c r="A69" s="357"/>
      <c r="B69" s="3356" t="s">
        <v>395</v>
      </c>
      <c r="C69" s="3356"/>
      <c r="D69" s="358"/>
      <c r="E69" s="73"/>
      <c r="F69" s="356"/>
      <c r="G69" s="3413"/>
      <c r="H69" s="311"/>
      <c r="I69" s="1288"/>
      <c r="J69" s="2019"/>
      <c r="K69" s="1290">
        <v>4</v>
      </c>
      <c r="L69" s="3427" t="s">
        <v>2881</v>
      </c>
      <c r="M69" s="3428"/>
      <c r="N69" s="1291">
        <f ca="1">C44</f>
        <v>54950</v>
      </c>
      <c r="O69" s="1291"/>
      <c r="P69" s="1291"/>
      <c r="Q69" s="2012"/>
      <c r="R69" s="2012"/>
      <c r="S69" s="2012"/>
      <c r="T69" s="2012"/>
      <c r="U69" s="2012"/>
      <c r="V69" s="2012"/>
    </row>
    <row r="70" spans="1:22" ht="24" customHeight="1">
      <c r="A70" s="359" t="s">
        <v>396</v>
      </c>
      <c r="B70" s="3356" t="s">
        <v>397</v>
      </c>
      <c r="C70" s="3356"/>
      <c r="D70" s="358">
        <f ca="1">ROUND(D63*'数据-取费表'!B41/(1+'数据-取费表'!C42),0)</f>
        <v>2931</v>
      </c>
      <c r="E70" s="17" t="s">
        <v>398</v>
      </c>
      <c r="F70" s="360">
        <f>'数据-取费表'!B41</f>
        <v>5.6000000000000001E-2</v>
      </c>
      <c r="G70" s="361"/>
      <c r="H70" s="311"/>
      <c r="I70" s="1288"/>
      <c r="J70" s="2019"/>
      <c r="K70" s="3012"/>
      <c r="L70" s="3013"/>
      <c r="M70" s="3013"/>
      <c r="N70" s="3014" t="s">
        <v>2886</v>
      </c>
      <c r="O70" s="3013"/>
      <c r="P70" s="3015"/>
      <c r="Q70" s="2012"/>
      <c r="R70" s="2012"/>
      <c r="S70" s="2012"/>
      <c r="T70" s="2012"/>
      <c r="U70" s="2012"/>
      <c r="V70" s="2012"/>
    </row>
    <row r="71" spans="1:22" ht="12" customHeight="1">
      <c r="A71" s="359" t="s">
        <v>404</v>
      </c>
      <c r="B71" s="3357" t="s">
        <v>405</v>
      </c>
      <c r="C71" s="3358"/>
      <c r="D71" s="358">
        <f ca="1">ROUND(D63*'数据-取费表'!B41/(1+'数据-取费表'!C42),0)</f>
        <v>2931</v>
      </c>
      <c r="E71" s="17" t="s">
        <v>398</v>
      </c>
      <c r="F71" s="360">
        <f>'数据-取费表'!B41</f>
        <v>5.6000000000000001E-2</v>
      </c>
      <c r="G71" s="361"/>
      <c r="H71" s="311"/>
      <c r="I71" s="1288"/>
      <c r="J71" s="2019"/>
      <c r="K71" s="3011" t="s">
        <v>399</v>
      </c>
      <c r="L71" s="3429" t="s">
        <v>400</v>
      </c>
      <c r="M71" s="3429"/>
      <c r="N71" s="3011" t="s">
        <v>401</v>
      </c>
      <c r="O71" s="3011" t="s">
        <v>402</v>
      </c>
      <c r="P71" s="3011" t="s">
        <v>403</v>
      </c>
      <c r="Q71" s="2012"/>
      <c r="R71" s="2012"/>
      <c r="S71" s="2012"/>
      <c r="T71" s="2012"/>
      <c r="U71" s="2012"/>
      <c r="V71" s="2012"/>
    </row>
    <row r="72" spans="1:22" ht="12" customHeight="1">
      <c r="A72" s="359" t="s">
        <v>407</v>
      </c>
      <c r="B72" s="3357" t="s">
        <v>408</v>
      </c>
      <c r="C72" s="3358"/>
      <c r="D72" s="358">
        <f ca="1">C86</f>
        <v>2819</v>
      </c>
      <c r="E72" s="73" t="s">
        <v>409</v>
      </c>
      <c r="F72" s="360">
        <f>'数据-取费表'!B41</f>
        <v>5.6000000000000001E-2</v>
      </c>
      <c r="G72" s="361"/>
      <c r="H72" s="1294"/>
      <c r="I72" s="1288"/>
      <c r="J72" s="2019"/>
      <c r="K72" s="1960">
        <v>1</v>
      </c>
      <c r="L72" s="3404" t="s">
        <v>406</v>
      </c>
      <c r="M72" s="3404"/>
      <c r="N72" s="1292">
        <f ca="1">D66</f>
        <v>2931</v>
      </c>
      <c r="O72" s="1843" t="str">
        <f>E66</f>
        <v>销售额×税（费）率</v>
      </c>
      <c r="P72" s="1293">
        <f>F66</f>
        <v>5.6000000000000001E-2</v>
      </c>
      <c r="Q72" s="2012"/>
      <c r="R72" s="2012"/>
      <c r="S72" s="2012"/>
      <c r="T72" s="2012"/>
      <c r="U72" s="2012"/>
      <c r="V72" s="2012"/>
    </row>
    <row r="73" spans="1:22" ht="24" customHeight="1">
      <c r="A73" s="3398" t="s">
        <v>411</v>
      </c>
      <c r="B73" s="3366"/>
      <c r="C73" s="3366"/>
      <c r="D73" s="362">
        <f>IF(H73="个人住宅",0,ROUND(D63*I73,0))</f>
        <v>0</v>
      </c>
      <c r="E73" s="17" t="s">
        <v>412</v>
      </c>
      <c r="F73" s="360" t="str">
        <f>IF(H73="正常",I73,"免征")</f>
        <v>免征</v>
      </c>
      <c r="G73" s="361"/>
      <c r="H73" s="191" t="s">
        <v>2454</v>
      </c>
      <c r="I73" s="360">
        <f>'数据-取费表'!B49</f>
        <v>5.0000000000000001E-4</v>
      </c>
      <c r="J73" s="2019"/>
      <c r="K73" s="1960">
        <v>2</v>
      </c>
      <c r="L73" s="3404" t="s">
        <v>410</v>
      </c>
      <c r="M73" s="3404"/>
      <c r="N73" s="1292">
        <f t="shared" ref="N73:P74" si="1">D73</f>
        <v>0</v>
      </c>
      <c r="O73" s="1843" t="str">
        <f t="shared" si="1"/>
        <v>销售额×税（费）率</v>
      </c>
      <c r="P73" s="1293" t="str">
        <f t="shared" si="1"/>
        <v>免征</v>
      </c>
      <c r="Q73" s="2012"/>
      <c r="R73" s="2012"/>
      <c r="S73" s="2012"/>
      <c r="T73" s="2012"/>
      <c r="U73" s="2012"/>
      <c r="V73" s="2012"/>
    </row>
    <row r="74" spans="1:22" ht="24.75">
      <c r="A74" s="3398" t="s">
        <v>415</v>
      </c>
      <c r="B74" s="3366"/>
      <c r="C74" s="3366"/>
      <c r="D74" s="362">
        <f ca="1">IF(H74="个人住宅",D75,D76)</f>
        <v>31102</v>
      </c>
      <c r="E74" s="17" t="s">
        <v>416</v>
      </c>
      <c r="F74" s="360" t="str">
        <f>IF(H74="正常",F76,"免征")</f>
        <v>——</v>
      </c>
      <c r="G74" s="983" t="s">
        <v>417</v>
      </c>
      <c r="H74" s="363" t="s">
        <v>413</v>
      </c>
      <c r="I74" s="42"/>
      <c r="J74" s="2019"/>
      <c r="K74" s="1960">
        <v>3</v>
      </c>
      <c r="L74" s="3404" t="s">
        <v>414</v>
      </c>
      <c r="M74" s="3404"/>
      <c r="N74" s="1292">
        <f t="shared" ca="1" si="1"/>
        <v>31102</v>
      </c>
      <c r="O74" s="1843" t="str">
        <f t="shared" si="1"/>
        <v>增值额×税（费）率</v>
      </c>
      <c r="P74" s="1295" t="str">
        <f t="shared" si="1"/>
        <v>——</v>
      </c>
      <c r="Q74" s="2012"/>
      <c r="R74" s="2012"/>
      <c r="S74" s="2012"/>
      <c r="T74" s="2012"/>
      <c r="U74" s="2012"/>
      <c r="V74" s="2012"/>
    </row>
    <row r="75" spans="1:22" ht="24">
      <c r="A75" s="359" t="s">
        <v>418</v>
      </c>
      <c r="B75" s="3354" t="s">
        <v>419</v>
      </c>
      <c r="C75" s="3384"/>
      <c r="D75" s="364">
        <v>0</v>
      </c>
      <c r="E75" s="41" t="s">
        <v>420</v>
      </c>
      <c r="F75" s="365"/>
      <c r="G75" s="361"/>
      <c r="H75" s="42"/>
      <c r="I75" s="42"/>
      <c r="J75" s="2019"/>
      <c r="K75" s="3004">
        <f>IF(H77="非个人房产","",4)</f>
        <v>4</v>
      </c>
      <c r="L75" s="3404" t="str">
        <f>IF(H77="非个人房产","——","个人所得税")</f>
        <v>个人所得税</v>
      </c>
      <c r="M75" s="3404"/>
      <c r="N75" s="1296">
        <f ca="1">D77</f>
        <v>550</v>
      </c>
      <c r="O75" s="1856" t="str">
        <f>E77</f>
        <v>销售额×税（费）率</v>
      </c>
      <c r="P75" s="1297">
        <f>F77</f>
        <v>0.01</v>
      </c>
      <c r="Q75" s="2012"/>
      <c r="R75" s="2012"/>
      <c r="S75" s="2012"/>
      <c r="T75" s="2012"/>
      <c r="U75" s="2012"/>
      <c r="V75" s="2012"/>
    </row>
    <row r="76" spans="1:22" ht="24.75">
      <c r="A76" s="359" t="s">
        <v>396</v>
      </c>
      <c r="B76" s="3354" t="s">
        <v>422</v>
      </c>
      <c r="C76" s="3355"/>
      <c r="D76" s="362">
        <f ca="1">IF(H76="转让取得",C99,C115)</f>
        <v>31102</v>
      </c>
      <c r="E76" s="17" t="s">
        <v>423</v>
      </c>
      <c r="F76" s="53" t="s">
        <v>21</v>
      </c>
      <c r="G76" s="361"/>
      <c r="H76" s="363" t="s">
        <v>424</v>
      </c>
      <c r="I76" s="42"/>
      <c r="J76" s="2019"/>
      <c r="K76" s="3004" t="str">
        <f>IF(项目基本情况!K6="上海银行",IF(K75="",4,K75+1),"")</f>
        <v/>
      </c>
      <c r="L76" s="3415" t="str">
        <f>IF(项目基本情况!K6="上海银行","其他处置费用","")</f>
        <v/>
      </c>
      <c r="M76" s="3416"/>
      <c r="N76" s="1292" t="str">
        <f>IF(项目基本情况!K6="上海银行",N89,"")</f>
        <v/>
      </c>
      <c r="O76" s="3417" t="str">
        <f>IF(项目基本情况!K6="上海银行","包含处置中涉及的律师、诉讼、拍卖、评估等费用","")</f>
        <v/>
      </c>
      <c r="P76" s="3418"/>
      <c r="Q76" s="2012"/>
      <c r="R76" s="2012"/>
      <c r="S76" s="2012"/>
      <c r="T76" s="2012"/>
      <c r="U76" s="2012"/>
      <c r="V76" s="2012"/>
    </row>
    <row r="77" spans="1:22" ht="26.25" thickBot="1">
      <c r="A77" s="3406" t="s">
        <v>426</v>
      </c>
      <c r="B77" s="3407"/>
      <c r="C77" s="3407"/>
      <c r="D77" s="366">
        <f ca="1">IF(H77="非个人房产","——",IF(H77="个人住宅",0,ROUND(D63*I77,0)))</f>
        <v>550</v>
      </c>
      <c r="E77" s="367" t="str">
        <f>IF(H77="非个人房产","——","销售额×税（费）率")</f>
        <v>销售额×税（费）率</v>
      </c>
      <c r="F77" s="368">
        <f>IF(H77="非个人房产","——",IF(H77="个人住宅","免征",I77))</f>
        <v>0.01</v>
      </c>
      <c r="G77" s="984" t="s">
        <v>417</v>
      </c>
      <c r="H77" s="363" t="s">
        <v>2882</v>
      </c>
      <c r="I77" s="369">
        <v>0.01</v>
      </c>
      <c r="J77" s="2019"/>
      <c r="K77" s="3405">
        <f>IF(AND(K75="",K76=""),4,IF(项目基本情况!K6="上海银行",K76+1,K75+1))</f>
        <v>5</v>
      </c>
      <c r="L77" s="3404" t="s">
        <v>2883</v>
      </c>
      <c r="M77" s="3010" t="s">
        <v>421</v>
      </c>
      <c r="N77" s="1298"/>
      <c r="O77" s="1299">
        <f ca="1">SUMIF(N72:N76,"&lt;9e307")</f>
        <v>34583</v>
      </c>
      <c r="P77" s="1300"/>
      <c r="Q77" s="3008">
        <f ca="1">O77/N69</f>
        <v>0.62935395814376704</v>
      </c>
      <c r="R77" s="2012"/>
      <c r="S77" s="2012"/>
      <c r="T77" s="2012"/>
      <c r="U77" s="2012"/>
      <c r="V77" s="2012"/>
    </row>
    <row r="78" spans="1:22" ht="12" customHeight="1">
      <c r="A78" s="1301"/>
      <c r="B78" s="311"/>
      <c r="C78" s="311"/>
      <c r="D78" s="311"/>
      <c r="E78" s="42"/>
      <c r="F78" s="42"/>
      <c r="G78" s="42"/>
      <c r="H78" s="1003"/>
      <c r="I78" s="311"/>
      <c r="J78" s="2019"/>
      <c r="K78" s="3405"/>
      <c r="L78" s="3404"/>
      <c r="M78" s="3010" t="s">
        <v>425</v>
      </c>
      <c r="N78" s="1298"/>
      <c r="O78" s="1299" t="str">
        <f ca="1">NUMBERSTRING(INT(O77*10000),2)&amp;"元整"</f>
        <v>叁亿肆仟伍佰捌拾叁万元整</v>
      </c>
      <c r="P78" s="1300"/>
      <c r="Q78" s="2012"/>
      <c r="R78" s="2012"/>
      <c r="S78" s="2012"/>
      <c r="T78" s="2012"/>
      <c r="U78" s="2012"/>
      <c r="V78" s="2012"/>
    </row>
    <row r="79" spans="1:22" ht="13.5" thickBot="1">
      <c r="A79" s="3399" t="s">
        <v>427</v>
      </c>
      <c r="B79" s="3399"/>
      <c r="C79" s="3399"/>
      <c r="D79" s="3399"/>
      <c r="E79" s="3399"/>
      <c r="F79" s="42"/>
      <c r="G79" s="42"/>
      <c r="H79" s="1003"/>
      <c r="I79" s="311"/>
      <c r="J79" s="2019"/>
      <c r="K79" s="3425">
        <f>K77+1</f>
        <v>6</v>
      </c>
      <c r="L79" s="3404" t="s">
        <v>2884</v>
      </c>
      <c r="M79" s="3010" t="s">
        <v>421</v>
      </c>
      <c r="N79" s="1298"/>
      <c r="O79" s="1299">
        <f ca="1">N69-O77</f>
        <v>20367</v>
      </c>
      <c r="P79" s="1300"/>
      <c r="Q79" s="2012"/>
      <c r="R79" s="2012"/>
      <c r="S79" s="2012"/>
      <c r="T79" s="2012"/>
      <c r="U79" s="2012"/>
      <c r="V79" s="2012"/>
    </row>
    <row r="80" spans="1:22" ht="25.5">
      <c r="A80" s="3394" t="s">
        <v>428</v>
      </c>
      <c r="B80" s="3395"/>
      <c r="C80" s="994"/>
      <c r="D80" s="994" t="s">
        <v>429</v>
      </c>
      <c r="E80" s="370" t="s">
        <v>430</v>
      </c>
      <c r="F80" s="42"/>
      <c r="G80" s="42"/>
      <c r="H80" s="1003"/>
      <c r="I80" s="311"/>
      <c r="J80" s="2012"/>
      <c r="K80" s="3426"/>
      <c r="L80" s="3404"/>
      <c r="M80" s="3010" t="s">
        <v>425</v>
      </c>
      <c r="N80" s="1298"/>
      <c r="O80" s="1299" t="str">
        <f ca="1">NUMBERSTRING(INT(O79*10000),2)&amp;"元整"</f>
        <v>贰亿零叁佰陆拾柒万元整</v>
      </c>
      <c r="P80" s="1300"/>
      <c r="Q80" s="2012"/>
      <c r="R80" s="2012"/>
      <c r="S80" s="2012"/>
      <c r="T80" s="2012"/>
      <c r="U80" s="2012"/>
      <c r="V80" s="2012"/>
    </row>
    <row r="81" spans="1:26" ht="13.5" thickBot="1">
      <c r="A81" s="381" t="s">
        <v>1823</v>
      </c>
      <c r="B81" s="371" t="s">
        <v>431</v>
      </c>
      <c r="C81" s="372">
        <f ca="1">ROUND((C82+C83)/(1+'数据-取费表'!C42),0)</f>
        <v>52333</v>
      </c>
      <c r="D81" s="373"/>
      <c r="E81" s="374"/>
      <c r="F81" s="42"/>
      <c r="G81" s="42"/>
      <c r="H81" s="1003"/>
      <c r="I81" s="311"/>
      <c r="J81" s="2012"/>
      <c r="K81" s="3004">
        <f>K79+1</f>
        <v>7</v>
      </c>
      <c r="L81" s="3402" t="s">
        <v>2885</v>
      </c>
      <c r="M81" s="3403"/>
      <c r="N81" s="1302"/>
      <c r="O81" s="1303">
        <f ca="1">ROUND(O79*10000/'数据-汇总表'!E3,0)</f>
        <v>654</v>
      </c>
      <c r="P81" s="1304"/>
      <c r="Q81" s="2012"/>
      <c r="R81" s="2012"/>
      <c r="S81" s="2012"/>
      <c r="T81" s="2012"/>
      <c r="U81" s="2012"/>
      <c r="V81" s="2012"/>
    </row>
    <row r="82" spans="1:26" ht="13.5" thickTop="1">
      <c r="A82" s="375" t="s">
        <v>1824</v>
      </c>
      <c r="B82" s="376" t="s">
        <v>432</v>
      </c>
      <c r="C82" s="377">
        <f ca="1">D63</f>
        <v>54950</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414" t="s">
        <v>2872</v>
      </c>
      <c r="L83" s="3016" t="s">
        <v>2873</v>
      </c>
      <c r="M83" s="3006">
        <f ca="1">IF(N69&gt;10000,N69*0.5%,IF(AND(N69&gt;1000,N69&lt;=10000),N69*1%,IF(AND(N69&gt;100,N69&lt;=1000),N69*3%,IF(AND(N69&gt;10,N69&lt;=100),N69*5%,N69*8%))))</f>
        <v>274.75</v>
      </c>
      <c r="N83" s="53">
        <f ca="1">ROUND(M83,1)</f>
        <v>274.8</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414"/>
      <c r="L84" s="3016" t="s">
        <v>2874</v>
      </c>
      <c r="M84" s="3006">
        <f ca="1">IF(N69&gt;2000,N69*0.5%,IF(AND(N69&gt;1000,N69&lt;=2000),N69*0.6%,IF(AND(N69&gt;500,N69&lt;=1000),N69*0.7%,IF(AND(N69&gt;200,N69&lt;=500),N69*0.8%,IF(AND(N69&gt;100,N69&lt;=200),N69*0.9%,IF(AND(N69&gt;50,N69&lt;=100),N69*1%,IF(AND(N69&gt;20,N69&lt;=50),N69*1.5%,IF(AND(N69&gt;10,N69&lt;=20),N69*2%,IF(AND(N69&gt;1,N69&lt;=10),N69*2.5%)))))))))</f>
        <v>274.75</v>
      </c>
      <c r="N84" s="53">
        <f t="shared" ref="N84:N85" ca="1" si="2">ROUND(M84,1)</f>
        <v>274.8</v>
      </c>
      <c r="O84" s="2012" t="s">
        <v>2875</v>
      </c>
      <c r="P84" s="2012"/>
      <c r="Q84" s="2012"/>
      <c r="R84" s="2012"/>
      <c r="S84" s="2012"/>
      <c r="T84" s="2012"/>
      <c r="U84" s="2012"/>
      <c r="V84" s="2012"/>
    </row>
    <row r="85" spans="1:26" ht="12.75">
      <c r="A85" s="381" t="s">
        <v>1827</v>
      </c>
      <c r="B85" s="382" t="s">
        <v>435</v>
      </c>
      <c r="C85" s="385">
        <f ca="1">C81-C84</f>
        <v>50333</v>
      </c>
      <c r="D85" s="378" t="s">
        <v>19</v>
      </c>
      <c r="E85" s="379"/>
      <c r="F85" s="42"/>
      <c r="G85" s="42"/>
      <c r="H85" s="1003"/>
      <c r="I85" s="311"/>
      <c r="J85" s="2012"/>
      <c r="K85" s="3414"/>
      <c r="L85" s="3016" t="s">
        <v>2876</v>
      </c>
      <c r="M85" s="3006">
        <f ca="1">IF(N69&gt;1000,N69*0.1%,IF(AND(N69&gt;500,N69&lt;=1000),N69*0.5%,IF(AND(N69&gt;50,N69&lt;=500),N69*1%,IF(AND(N69&gt;1,N69&lt;=50),N69*1.5%))))</f>
        <v>54.95</v>
      </c>
      <c r="N85" s="53">
        <f t="shared" ca="1" si="2"/>
        <v>55</v>
      </c>
      <c r="O85" s="2012" t="s">
        <v>2875</v>
      </c>
      <c r="P85" s="2012"/>
      <c r="Q85" s="2012"/>
      <c r="R85" s="2012"/>
      <c r="S85" s="2012"/>
      <c r="T85" s="2012"/>
      <c r="U85" s="2012"/>
      <c r="V85" s="2012"/>
    </row>
    <row r="86" spans="1:26" ht="13.5" thickBot="1">
      <c r="A86" s="386" t="s">
        <v>1828</v>
      </c>
      <c r="B86" s="387" t="s">
        <v>436</v>
      </c>
      <c r="C86" s="388">
        <f ca="1">IF(C85&lt;=0,0,ROUND(C85*D86,0))</f>
        <v>2819</v>
      </c>
      <c r="D86" s="389">
        <f>'数据-取费表'!B41</f>
        <v>5.6000000000000001E-2</v>
      </c>
      <c r="E86" s="390"/>
      <c r="F86" s="42"/>
      <c r="G86" s="42"/>
      <c r="H86" s="1003"/>
      <c r="I86" s="311"/>
      <c r="J86" s="2012"/>
      <c r="K86" s="3414"/>
      <c r="L86" s="3016" t="s">
        <v>2877</v>
      </c>
      <c r="M86" s="3006">
        <f ca="1">N69*0.5%</f>
        <v>274.75</v>
      </c>
      <c r="N86" s="53">
        <f ca="1">IF(M86&gt;0.5,0.5,ROUND(M86,0))</f>
        <v>0.5</v>
      </c>
      <c r="O86" s="2012" t="s">
        <v>2878</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414"/>
      <c r="L87" s="3016" t="s">
        <v>2879</v>
      </c>
      <c r="M87" s="3006">
        <f ca="1">IF(N69&gt;=10000,(8.25+(N69-10000)*0.01%),IF(AND(N69&gt;=8000,N69&lt;10000),(7.85+(N69-8000)*0.02%),IF(AND(N69&gt;=5000,N69&lt;8000),(6.65+(N69-5000)*0.04%),IF(AND(N69&gt;=2000,N69&lt;5000),(4.25+(PN69-2000)*0.08%),IF(AND(N69&gt;=1000,N69&lt;2000),(2.75+(N69-1000)*0.15%),IF(AND(N69&gt;=100,N69&lt;1000),(0.5+(N69-100)*0.25%),IF(AND(N69&gt;0,N69&lt;100),N69*0.5%)))))))</f>
        <v>12.745000000000001</v>
      </c>
      <c r="N87" s="53">
        <f ca="1">ROUND(M87*0.9,1)</f>
        <v>11.5</v>
      </c>
      <c r="O87" s="3009"/>
      <c r="P87" s="311"/>
      <c r="Q87" s="2012"/>
      <c r="R87" s="2012"/>
      <c r="S87" s="2012"/>
      <c r="T87" s="2012"/>
      <c r="U87" s="2012"/>
      <c r="V87" s="2012"/>
      <c r="W87" s="292"/>
      <c r="X87" s="292"/>
      <c r="Y87" s="292"/>
      <c r="Z87" s="292"/>
    </row>
    <row r="88" spans="1:26" s="1310" customFormat="1" ht="15" thickBot="1">
      <c r="A88" s="3396" t="s">
        <v>437</v>
      </c>
      <c r="B88" s="3397"/>
      <c r="C88" s="3397"/>
      <c r="D88" s="3397"/>
      <c r="E88" s="3397"/>
      <c r="F88" s="3397"/>
      <c r="G88" s="3397"/>
      <c r="H88" s="3397"/>
      <c r="I88" s="1311"/>
      <c r="J88" s="2020"/>
      <c r="K88" s="3414"/>
      <c r="L88" s="3016" t="s">
        <v>2880</v>
      </c>
      <c r="M88" s="3006">
        <f ca="1">IF(N69&gt;10000,N69*0.5%,IF(AND(N69&gt;5000,N69&lt;=10000),N69*1%,IF(AND(N69&gt;1000,N69&lt;=5000),N69*2%,IF(AND(N69&gt;200,N69&lt;=1000),N69*3%,N69*5%))))</f>
        <v>274.75</v>
      </c>
      <c r="N88" s="53">
        <f ca="1">ROUND(M88,1)</f>
        <v>274.8</v>
      </c>
      <c r="O88" s="3009"/>
      <c r="P88" s="11"/>
      <c r="Q88" s="2017"/>
      <c r="R88" s="2017"/>
      <c r="S88" s="2017"/>
      <c r="T88" s="2017"/>
      <c r="U88" s="2017"/>
      <c r="V88" s="2017"/>
      <c r="W88" s="2021"/>
      <c r="X88" s="2021"/>
      <c r="Y88" s="2021"/>
      <c r="Z88" s="2021"/>
    </row>
    <row r="89" spans="1:26" s="1310" customFormat="1" ht="14.25">
      <c r="A89" s="3394" t="s">
        <v>428</v>
      </c>
      <c r="B89" s="3395"/>
      <c r="C89" s="994"/>
      <c r="D89" s="994" t="s">
        <v>429</v>
      </c>
      <c r="E89" s="391" t="s">
        <v>438</v>
      </c>
      <c r="F89" s="392"/>
      <c r="G89" s="392"/>
      <c r="H89" s="393"/>
      <c r="I89" s="1312"/>
      <c r="J89" s="2022"/>
      <c r="K89" s="3414"/>
      <c r="L89" s="3016" t="s">
        <v>27</v>
      </c>
      <c r="M89" s="3007"/>
      <c r="N89" s="53">
        <f ca="1">ROUND(SUM(N83:N88),0)</f>
        <v>891</v>
      </c>
      <c r="O89" s="3017">
        <f ca="1">N89/N69</f>
        <v>1.62147406733394E-2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52333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2895</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57" t="s">
        <v>447</v>
      </c>
      <c r="F94" s="3356"/>
      <c r="G94" s="3356"/>
      <c r="H94" s="3393"/>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314</v>
      </c>
      <c r="D96" s="406">
        <f>'数据-取费表'!B43</f>
        <v>6.000000000000001E-3</v>
      </c>
      <c r="E96" s="3385" t="s">
        <v>2427</v>
      </c>
      <c r="F96" s="3386"/>
      <c r="G96" s="3386"/>
      <c r="H96" s="3387"/>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1835</v>
      </c>
      <c r="B97" s="382" t="s">
        <v>451</v>
      </c>
      <c r="C97" s="385">
        <f ca="1">C90-C91</f>
        <v>49438</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1836</v>
      </c>
      <c r="B98" s="382" t="s">
        <v>452</v>
      </c>
      <c r="C98" s="407">
        <f ca="1">IF(C97&lt;=0,0,C97/C91)</f>
        <v>17.077029360967185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1837</v>
      </c>
      <c r="B99" s="387" t="s">
        <v>453</v>
      </c>
      <c r="C99" s="408">
        <f ca="1">ROUND(IF(C97&lt;=0,0,IF(C98&gt;=200%,C97*60%-C91*35%,IF(C98&gt;=100%,C97*50%-C91*15%,IF(C98&gt;=50%,C97*40%-C91*5%,IF(C98&lt;50%,C97*30%,0))))),0)</f>
        <v>28650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96" t="s">
        <v>454</v>
      </c>
      <c r="B101" s="3397"/>
      <c r="C101" s="3397"/>
      <c r="D101" s="3397"/>
      <c r="E101" s="3397"/>
      <c r="F101" s="3397"/>
      <c r="G101" s="3397"/>
      <c r="H101" s="3397"/>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94" t="s">
        <v>428</v>
      </c>
      <c r="B102" s="339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52333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314</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0</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c r="D106" s="406"/>
      <c r="E106" s="417" t="s">
        <v>457</v>
      </c>
      <c r="F106" s="986"/>
      <c r="G106" s="418" t="s">
        <v>458</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0</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1838</v>
      </c>
      <c r="B109" s="376" t="s">
        <v>461</v>
      </c>
      <c r="C109" s="405">
        <f>IF(H109="——",IF(F1="现房",'剩余法-现房'!C18,'剩余法-待开发'!C18),I109)</f>
        <v>0</v>
      </c>
      <c r="D109" s="406"/>
      <c r="E109" s="3388" t="s">
        <v>462</v>
      </c>
      <c r="F109" s="3386"/>
      <c r="G109" s="3386"/>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1839</v>
      </c>
      <c r="B110" s="376" t="s">
        <v>463</v>
      </c>
      <c r="C110" s="405">
        <f>ROUND((C105+C108+C109)*D110,0)</f>
        <v>0</v>
      </c>
      <c r="D110" s="406">
        <v>0.1</v>
      </c>
      <c r="E110" s="3388" t="s">
        <v>464</v>
      </c>
      <c r="F110" s="3386"/>
      <c r="G110" s="3386"/>
      <c r="H110" s="3387"/>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1840</v>
      </c>
      <c r="B111" s="376" t="s">
        <v>450</v>
      </c>
      <c r="C111" s="405">
        <f ca="1">ROUND(D63*D111/(1+'数据-取费表'!C42),0)</f>
        <v>314</v>
      </c>
      <c r="D111" s="406">
        <f>'数据-取费表'!B43</f>
        <v>6.000000000000001E-3</v>
      </c>
      <c r="E111" s="3385" t="s">
        <v>2427</v>
      </c>
      <c r="F111" s="3386"/>
      <c r="G111" s="3386"/>
      <c r="H111" s="3387"/>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1841</v>
      </c>
      <c r="B112" s="376" t="s">
        <v>465</v>
      </c>
      <c r="C112" s="405">
        <f>ROUND(C108*D112,0)</f>
        <v>0</v>
      </c>
      <c r="D112" s="406">
        <v>0.2</v>
      </c>
      <c r="E112" s="3388" t="s">
        <v>2452</v>
      </c>
      <c r="F112" s="3386"/>
      <c r="G112" s="3386"/>
      <c r="H112" s="3387"/>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1835</v>
      </c>
      <c r="B113" s="382" t="s">
        <v>451</v>
      </c>
      <c r="C113" s="385">
        <f ca="1">ROUND(C103-C104,0)</f>
        <v>52019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1836</v>
      </c>
      <c r="B114" s="382" t="s">
        <v>452</v>
      </c>
      <c r="C114" s="407">
        <f ca="1">IF(C113&lt;=0,0,C113/C104)</f>
        <v>165.66560509554139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1837</v>
      </c>
      <c r="B115" s="387" t="s">
        <v>453</v>
      </c>
      <c r="C115" s="408">
        <f ca="1">ROUND(IF(C113&lt;=0,0,IF(C114&gt;=200%,C113*60%-C104*35%,IF(C114&gt;=100%,C113*50%-C104*15%,IF(C114&gt;=50%,C113*40%-C104*5%,IF(C114&lt;50%,C113*30%,0))))),0)</f>
        <v>31102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8">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1848</v>
      </c>
      <c r="B13" s="449" t="s">
        <v>479</v>
      </c>
      <c r="C13" s="450">
        <f ca="1">IF(B1="",'数据-取费表'!M16,INDIRECT("'数据-取费表'!M"&amp;$K$1)+INDIRECT("'数据-取费表'!t"&amp;$K$1))</f>
        <v>108991</v>
      </c>
      <c r="D13" s="451"/>
      <c r="E13" s="365"/>
      <c r="F13" s="452"/>
      <c r="G13" s="444"/>
      <c r="H13" s="447"/>
      <c r="I13" s="447"/>
      <c r="J13" s="447"/>
      <c r="K13" s="448"/>
    </row>
    <row r="14" spans="1:41" s="2100" customFormat="1" ht="13.5" customHeight="1">
      <c r="A14" s="1618" t="s">
        <v>1849</v>
      </c>
      <c r="B14" s="449" t="s">
        <v>480</v>
      </c>
      <c r="C14" s="53">
        <f ca="1">ROUND(C13*F14,0)</f>
        <v>5450</v>
      </c>
      <c r="D14" s="451"/>
      <c r="E14" s="365"/>
      <c r="F14" s="453">
        <f>'数据-取费表'!B33</f>
        <v>0.05</v>
      </c>
      <c r="G14" s="444" t="s">
        <v>502</v>
      </c>
      <c r="H14" s="447"/>
      <c r="I14" s="447"/>
      <c r="J14" s="447"/>
      <c r="K14" s="448"/>
    </row>
    <row r="15" spans="1:41" s="2100"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0.1</v>
      </c>
      <c r="G15" s="444" t="s">
        <v>502</v>
      </c>
      <c r="H15" s="447"/>
      <c r="I15" s="447"/>
      <c r="J15" s="447"/>
      <c r="K15" s="448"/>
    </row>
    <row r="16" spans="1:41" s="2101" customFormat="1" ht="13.5" customHeight="1">
      <c r="A16" s="1618" t="s">
        <v>1851</v>
      </c>
      <c r="B16" s="449" t="s">
        <v>484</v>
      </c>
      <c r="C16" s="53">
        <f ca="1">ROUND(D16*E16/10000,0)</f>
        <v>7785</v>
      </c>
      <c r="D16" s="451">
        <f ca="1">IF(B1="",'数据-汇总表'!E3,INDIRECT("'数据-取费表'!K"&amp;$K$1)+INDIRECT("'数据-取费表'!S"&amp;$K$1))</f>
        <v>311402</v>
      </c>
      <c r="E16" s="53">
        <f>'数据-取费表'!B35</f>
        <v>250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49" t="s">
        <v>485</v>
      </c>
      <c r="C17" s="454">
        <f ca="1">ROUND(C13*F17,0)</f>
        <v>1635</v>
      </c>
      <c r="D17" s="455"/>
      <c r="E17" s="454"/>
      <c r="F17" s="456">
        <f>'数据-取费表'!B36</f>
        <v>1.4999999999999999E-2</v>
      </c>
      <c r="G17" s="444" t="s">
        <v>502</v>
      </c>
      <c r="H17" s="457"/>
      <c r="I17" s="457"/>
      <c r="J17" s="457"/>
      <c r="K17" s="458"/>
    </row>
    <row r="18" spans="1:14" s="2103" customFormat="1" ht="13.5" customHeight="1">
      <c r="A18" s="1619" t="s">
        <v>1853</v>
      </c>
      <c r="B18" s="459" t="s">
        <v>487</v>
      </c>
      <c r="C18" s="460">
        <f ca="1">SUM(C13:C17)</f>
        <v>123861</v>
      </c>
      <c r="D18" s="461"/>
      <c r="E18" s="462"/>
      <c r="F18" s="462"/>
      <c r="G18" s="1323" t="s">
        <v>2431</v>
      </c>
      <c r="H18" s="447"/>
      <c r="I18" s="447"/>
      <c r="J18" s="447"/>
      <c r="K18" s="448"/>
    </row>
    <row r="19" spans="1:14" s="2103" customFormat="1" ht="13.5" customHeight="1">
      <c r="A19" s="1619" t="s">
        <v>1854</v>
      </c>
      <c r="B19" s="459" t="s">
        <v>493</v>
      </c>
      <c r="C19" s="460">
        <f ca="1">ROUND(C18*F19,0)</f>
        <v>2477</v>
      </c>
      <c r="D19" s="462"/>
      <c r="E19" s="462"/>
      <c r="F19" s="466">
        <f>'数据-取费表'!B37</f>
        <v>0.02</v>
      </c>
      <c r="G19" s="444" t="s">
        <v>503</v>
      </c>
      <c r="H19" s="447"/>
      <c r="I19" s="447"/>
      <c r="J19" s="447"/>
      <c r="K19" s="448"/>
      <c r="L19" s="2105"/>
      <c r="M19" s="2105"/>
      <c r="N19" s="2105"/>
    </row>
    <row r="20" spans="1:14" s="2103" customFormat="1" ht="13.5" customHeight="1">
      <c r="A20" s="1619" t="s">
        <v>1855</v>
      </c>
      <c r="B20" s="459" t="s">
        <v>504</v>
      </c>
      <c r="C20" s="2981">
        <f>F20</f>
        <v>0.03</v>
      </c>
      <c r="D20" s="469" t="s">
        <v>505</v>
      </c>
      <c r="E20" s="469"/>
      <c r="F20" s="486">
        <f>'数据-取费表'!B38</f>
        <v>0.03</v>
      </c>
      <c r="G20" s="1323" t="s">
        <v>506</v>
      </c>
      <c r="H20" s="447"/>
      <c r="I20" s="447"/>
      <c r="J20" s="447"/>
      <c r="K20" s="448"/>
      <c r="L20" s="2105"/>
      <c r="M20" s="2105"/>
      <c r="N20" s="2105"/>
    </row>
    <row r="21" spans="1:14" s="2105" customFormat="1" ht="13.5" customHeight="1">
      <c r="A21" s="1619" t="s">
        <v>1858</v>
      </c>
      <c r="B21" s="461" t="s">
        <v>494</v>
      </c>
      <c r="C21" s="470">
        <f ca="1">C22</f>
        <v>15541</v>
      </c>
      <c r="D21" s="467">
        <f ca="1">C23</f>
        <v>3.7000000000000002E-3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8" t="s">
        <v>1848</v>
      </c>
      <c r="B22" s="1324" t="s">
        <v>2434</v>
      </c>
      <c r="C22" s="487">
        <f ca="1">ROUND(IF('数据-取费表'!B22&lt;=1,(C18+C19)*F21*'数据-取费表'!B20/2,(C18+C19)*(POWER((1+F21),'数据-取费表'!B20/2)-1)),0)</f>
        <v>15541</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1849</v>
      </c>
      <c r="B23" s="1324" t="s">
        <v>508</v>
      </c>
      <c r="C23" s="488">
        <f ca="1">ROUND(IF('数据-取费表'!B22&lt;=1,F20*F21*'数据-取费表'!B20/2,F20*(POWER((1+F21),'数据-取费表'!B20/2)-1)),4)</f>
        <v>3.7000000000000002E-3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1859</v>
      </c>
      <c r="B24" s="2983" t="s">
        <v>2830</v>
      </c>
      <c r="C24" s="478">
        <f ca="1">C25</f>
        <v>12634</v>
      </c>
      <c r="D24" s="489">
        <f ca="1">C26</f>
        <v>3.0000000000000001E-3</v>
      </c>
      <c r="E24" s="469" t="s">
        <v>507</v>
      </c>
      <c r="F24" s="479">
        <f ca="1">IF(B1="",'数据-取费表'!Q16,INDIRECT("'数据-取费表'!q"&amp;$K$1))</f>
        <v>0.1</v>
      </c>
      <c r="G24" s="444"/>
      <c r="H24" s="447"/>
      <c r="I24" s="447"/>
      <c r="J24" s="447"/>
      <c r="K24" s="448"/>
    </row>
    <row r="25" spans="1:14" s="2104" customFormat="1" ht="13.5" customHeight="1">
      <c r="A25" s="1618" t="s">
        <v>1848</v>
      </c>
      <c r="B25" s="1324" t="s">
        <v>2435</v>
      </c>
      <c r="C25" s="490">
        <f ca="1">ROUND((C18+C19)*F24,0)</f>
        <v>12634</v>
      </c>
      <c r="D25" s="472"/>
      <c r="E25" s="473"/>
      <c r="F25" s="480"/>
      <c r="G25" s="1322" t="s">
        <v>2432</v>
      </c>
      <c r="H25" s="457"/>
      <c r="I25" s="457"/>
      <c r="J25" s="457"/>
      <c r="K25" s="458"/>
    </row>
    <row r="26" spans="1:14" s="2104" customFormat="1" ht="13.5" customHeight="1">
      <c r="A26" s="1618" t="s">
        <v>1849</v>
      </c>
      <c r="B26" s="1324" t="s">
        <v>509</v>
      </c>
      <c r="C26" s="491">
        <f ca="1">ROUND(F20*F24,4)</f>
        <v>3.0000000000000001E-3</v>
      </c>
      <c r="D26" s="472"/>
      <c r="E26" s="481"/>
      <c r="F26" s="480"/>
      <c r="G26" s="1322" t="s">
        <v>510</v>
      </c>
      <c r="H26" s="457"/>
      <c r="I26" s="457"/>
      <c r="J26" s="457"/>
      <c r="K26" s="458"/>
    </row>
    <row r="27" spans="1:14" s="2104" customFormat="1" ht="13.5" customHeight="1">
      <c r="A27" s="1622" t="s">
        <v>1867</v>
      </c>
      <c r="B27" s="459" t="s">
        <v>511</v>
      </c>
      <c r="C27" s="2982">
        <f>ROUND(F27/(1+'数据-取费表'!C42),4)</f>
        <v>5.33E-2</v>
      </c>
      <c r="D27" s="462" t="s">
        <v>2828</v>
      </c>
      <c r="E27" s="462"/>
      <c r="F27" s="466">
        <f>'数据-取费表'!B41</f>
        <v>5.6000000000000001E-2</v>
      </c>
      <c r="G27" s="1944" t="s">
        <v>2291</v>
      </c>
      <c r="H27" s="447"/>
      <c r="I27" s="447"/>
      <c r="J27" s="447"/>
      <c r="K27" s="448"/>
    </row>
    <row r="28" spans="1:14" s="2105" customFormat="1" ht="13.5" customHeight="1">
      <c r="A28" s="1622" t="s">
        <v>1868</v>
      </c>
      <c r="B28" s="476" t="s">
        <v>512</v>
      </c>
      <c r="C28" s="470">
        <f ca="1">ROUND((C18+C19+C21+C24)/(1-C20-D21-D24-C27),0)</f>
        <v>169795</v>
      </c>
      <c r="D28" s="477"/>
      <c r="E28" s="469"/>
      <c r="F28" s="471"/>
      <c r="G28" s="1323" t="s">
        <v>2433</v>
      </c>
      <c r="H28" s="447"/>
      <c r="I28" s="447"/>
      <c r="J28" s="447"/>
      <c r="K28" s="448"/>
    </row>
    <row r="29" spans="1:14" s="2105"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33" t="str">
        <f>项目基本情况!B1</f>
        <v>山东省青岛市即墨区田横度假区滨海公路共29宗住宅、商业用地出让国有建设用地使用权抵押价格预评估</v>
      </c>
      <c r="C37" s="3233"/>
      <c r="D37" s="3233"/>
      <c r="E37" s="3233"/>
      <c r="F37" s="3233"/>
      <c r="G37" s="3233"/>
      <c r="H37" s="3233"/>
      <c r="I37" s="3233"/>
    </row>
    <row r="38" spans="1:9">
      <c r="A38" s="1641"/>
      <c r="B38" s="1641"/>
    </row>
    <row r="39" spans="1:9">
      <c r="A39" s="1639" t="s">
        <v>1901</v>
      </c>
      <c r="B39" s="1639" t="s">
        <v>2046</v>
      </c>
    </row>
    <row r="40" spans="1:9">
      <c r="A40" s="1639"/>
      <c r="B40" s="1639" t="str">
        <f>项目基本情况!B5</f>
        <v>中信信托有限责任公司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王鹏、郑燚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34" sqref="L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54215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1741</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2089</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139</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521</v>
      </c>
      <c r="B6" s="513"/>
      <c r="C6" s="3439" t="s">
        <v>522</v>
      </c>
      <c r="D6" s="3440"/>
      <c r="E6" s="3439" t="s">
        <v>523</v>
      </c>
      <c r="F6" s="3440"/>
      <c r="G6" s="3439" t="s">
        <v>524</v>
      </c>
      <c r="H6" s="3440"/>
      <c r="I6" s="3439" t="s">
        <v>525</v>
      </c>
      <c r="J6" s="3440"/>
      <c r="K6" s="514" t="s">
        <v>526</v>
      </c>
      <c r="L6" s="2117"/>
      <c r="M6" s="2116"/>
      <c r="N6" s="2116"/>
      <c r="O6" s="2118"/>
      <c r="P6" s="3441" t="s">
        <v>527</v>
      </c>
      <c r="Q6" s="3442"/>
      <c r="R6" s="3447" t="s">
        <v>523</v>
      </c>
      <c r="S6" s="3448"/>
      <c r="T6" s="3447" t="s">
        <v>524</v>
      </c>
      <c r="U6" s="3448"/>
      <c r="V6" s="3434" t="s">
        <v>525</v>
      </c>
      <c r="W6" s="3434"/>
      <c r="X6" s="1553"/>
      <c r="Y6" s="3447" t="s">
        <v>527</v>
      </c>
      <c r="Z6" s="3448"/>
      <c r="AA6" s="3436" t="s">
        <v>523</v>
      </c>
      <c r="AB6" s="3437" t="s">
        <v>524</v>
      </c>
      <c r="AC6" s="3436" t="s">
        <v>525</v>
      </c>
    </row>
    <row r="7" spans="1:30" ht="49.5" customHeight="1">
      <c r="A7" s="515"/>
      <c r="B7" s="516"/>
      <c r="C7" s="3455" t="s">
        <v>2928</v>
      </c>
      <c r="D7" s="3456"/>
      <c r="E7" s="3455" t="str">
        <f>土地案例!A14</f>
        <v>即墨省级经济开发区蓝色新区文山路以东、宁东路以南、临川路以西、翠屏路以北</v>
      </c>
      <c r="F7" s="3456"/>
      <c r="G7" s="3455" t="str">
        <f>土地案例!A16</f>
        <v>即墨省级经济开发区蓝色新区宁海卫路以南、灵山卫路以东、盟旺山路以北、青山卫路以西</v>
      </c>
      <c r="H7" s="3456"/>
      <c r="I7" s="3455" t="str">
        <f>土地案例!A17</f>
        <v>即墨省级经济开发区蓝色新区宁海卫路以南、莲花山路以东、盟旺山路以北、成山卫路以西</v>
      </c>
      <c r="J7" s="3456"/>
      <c r="K7" s="514"/>
      <c r="L7" s="2117"/>
      <c r="M7" s="2116"/>
      <c r="N7" s="2116"/>
      <c r="O7" s="2118"/>
      <c r="P7" s="3443"/>
      <c r="Q7" s="3444"/>
      <c r="R7" s="3449"/>
      <c r="S7" s="3450"/>
      <c r="T7" s="3449"/>
      <c r="U7" s="3450"/>
      <c r="V7" s="3434"/>
      <c r="W7" s="3434"/>
      <c r="X7" s="1553"/>
      <c r="Y7" s="3449"/>
      <c r="Z7" s="3450"/>
      <c r="AA7" s="3437"/>
      <c r="AB7" s="3437"/>
      <c r="AC7" s="3437"/>
    </row>
    <row r="8" spans="1:30" ht="21" thickBot="1">
      <c r="A8" s="515"/>
      <c r="B8" s="516"/>
      <c r="C8" s="3457" t="s">
        <v>2932</v>
      </c>
      <c r="D8" s="3458"/>
      <c r="E8" s="3457" t="str">
        <f>土地案例!C14</f>
        <v>JY16-58</v>
      </c>
      <c r="F8" s="3458"/>
      <c r="G8" s="3453" t="str">
        <f>土地案例!C16</f>
        <v>JY16-37</v>
      </c>
      <c r="H8" s="3454"/>
      <c r="I8" s="3453" t="str">
        <f>土地案例!C17</f>
        <v>JY16-25</v>
      </c>
      <c r="J8" s="3454"/>
      <c r="K8" s="514" t="s">
        <v>528</v>
      </c>
      <c r="L8" s="2117"/>
      <c r="M8" s="2116"/>
      <c r="N8" s="2116"/>
      <c r="O8" s="2118"/>
      <c r="P8" s="3445"/>
      <c r="Q8" s="3446"/>
      <c r="R8" s="3449"/>
      <c r="S8" s="3450"/>
      <c r="T8" s="3451"/>
      <c r="U8" s="3452"/>
      <c r="V8" s="3434"/>
      <c r="W8" s="3434"/>
      <c r="X8" s="1553"/>
      <c r="Y8" s="3451"/>
      <c r="Z8" s="3452"/>
      <c r="AA8" s="3438"/>
      <c r="AB8" s="3438"/>
      <c r="AC8" s="3438"/>
    </row>
    <row r="9" spans="1:30" s="1216" customFormat="1" ht="21" thickBot="1">
      <c r="A9" s="2866"/>
      <c r="B9" s="2873" t="s">
        <v>529</v>
      </c>
      <c r="C9" s="2865">
        <f>'数据-取费表'!B2</f>
        <v>43565</v>
      </c>
      <c r="D9" s="520">
        <v>100</v>
      </c>
      <c r="E9" s="521" t="str">
        <f>土地案例!H14</f>
        <v>2016-11-22</v>
      </c>
      <c r="F9" s="522">
        <f>SUMIF(72:72,YEAR(E9)&amp;"-"&amp;INT((MONTH(E9)+2)/3),73:73)</f>
        <v>90</v>
      </c>
      <c r="G9" s="523" t="str">
        <f>土地案例!H16</f>
        <v>2016-08-31</v>
      </c>
      <c r="H9" s="520">
        <f>SUMIF(72:72,YEAR(G9)&amp;"-"&amp;INT((MONTH(G9)+2)/3),73:73)</f>
        <v>89</v>
      </c>
      <c r="I9" s="523" t="str">
        <f>土地案例!H17</f>
        <v>2016-07-18</v>
      </c>
      <c r="J9" s="520">
        <f>SUMIF(72:72,YEAR(I9)&amp;"-"&amp;INT((MONTH(I9)+2)/3),73:73)</f>
        <v>89</v>
      </c>
      <c r="K9" s="524"/>
      <c r="L9" s="2119"/>
      <c r="M9" s="2116"/>
      <c r="N9" s="2116"/>
      <c r="O9" s="2120"/>
      <c r="P9" s="3464" t="s">
        <v>530</v>
      </c>
      <c r="Q9" s="3466"/>
      <c r="R9" s="1554" t="s">
        <v>8</v>
      </c>
      <c r="S9" s="1555">
        <f t="shared" ref="S9:S17" si="0">F9</f>
        <v>90</v>
      </c>
      <c r="T9" s="1554" t="s">
        <v>8</v>
      </c>
      <c r="U9" s="1555">
        <f t="shared" ref="U9:U17" si="1">H9</f>
        <v>89</v>
      </c>
      <c r="V9" s="1554" t="s">
        <v>8</v>
      </c>
      <c r="W9" s="1555">
        <f t="shared" ref="W9:W17" si="2">J9</f>
        <v>89</v>
      </c>
      <c r="X9" s="1556"/>
      <c r="Y9" s="3464" t="s">
        <v>530</v>
      </c>
      <c r="Z9" s="3465"/>
      <c r="AA9" s="1557">
        <f>D9/F9</f>
        <v>1.1111111111111112</v>
      </c>
      <c r="AB9" s="1557">
        <f>D9/H9</f>
        <v>1.1235955056179776</v>
      </c>
      <c r="AC9" s="1557">
        <f>D9/J9</f>
        <v>1.1235955056179776</v>
      </c>
    </row>
    <row r="10" spans="1:30" s="1216" customFormat="1" ht="21" thickBot="1">
      <c r="A10" s="2867"/>
      <c r="B10" s="2874" t="s">
        <v>531</v>
      </c>
      <c r="C10" s="856" t="s">
        <v>532</v>
      </c>
      <c r="D10" s="520">
        <v>100</v>
      </c>
      <c r="E10" s="525" t="s">
        <v>3529</v>
      </c>
      <c r="F10" s="522">
        <f>SUMIF(75:75,E10,76:76)-SUMIF(75:75,C10,76:76)+100</f>
        <v>100</v>
      </c>
      <c r="G10" s="525" t="s">
        <v>3529</v>
      </c>
      <c r="H10" s="520">
        <f>SUMIF(75:75,G10,76:76)-SUMIF(75:75,C10,76:76)+100</f>
        <v>100</v>
      </c>
      <c r="I10" s="525" t="s">
        <v>3529</v>
      </c>
      <c r="J10" s="520">
        <f>SUMIF(75:75,I10,76:76)-SUMIF(75:75,C10,76:76)+100</f>
        <v>100</v>
      </c>
      <c r="K10" s="524"/>
      <c r="L10" s="2119"/>
      <c r="M10" s="2116"/>
      <c r="N10" s="2116"/>
      <c r="O10" s="2120"/>
      <c r="P10" s="3464" t="s">
        <v>533</v>
      </c>
      <c r="Q10" s="3465"/>
      <c r="R10" s="1554" t="s">
        <v>8</v>
      </c>
      <c r="S10" s="1555">
        <f t="shared" si="0"/>
        <v>100</v>
      </c>
      <c r="T10" s="1554" t="s">
        <v>8</v>
      </c>
      <c r="U10" s="1555">
        <f t="shared" si="1"/>
        <v>100</v>
      </c>
      <c r="V10" s="1554" t="s">
        <v>8</v>
      </c>
      <c r="W10" s="1555">
        <f t="shared" si="2"/>
        <v>100</v>
      </c>
      <c r="X10" s="1556"/>
      <c r="Y10" s="3464" t="s">
        <v>533</v>
      </c>
      <c r="Z10" s="3465"/>
      <c r="AA10" s="1557">
        <f t="shared" ref="AA10:AA47" si="3">D10/F10</f>
        <v>1</v>
      </c>
      <c r="AB10" s="1557">
        <f t="shared" ref="AB10:AB47" si="4">D10/H10</f>
        <v>1</v>
      </c>
      <c r="AC10" s="1557">
        <f t="shared" ref="AC10:AC47" si="5">D10/J10</f>
        <v>1</v>
      </c>
    </row>
    <row r="11" spans="1:30" s="1216" customFormat="1" ht="42.75">
      <c r="A11" s="2868"/>
      <c r="B11" s="2875" t="s">
        <v>2754</v>
      </c>
      <c r="C11" s="2862" t="s">
        <v>3394</v>
      </c>
      <c r="D11" s="254">
        <v>100</v>
      </c>
      <c r="E11" s="526" t="s">
        <v>3300</v>
      </c>
      <c r="F11" s="254">
        <f>SUMIF(77:77,E11,78:78)-SUMIF(77:77,C11,78:78)+100</f>
        <v>100</v>
      </c>
      <c r="G11" s="526" t="s">
        <v>3300</v>
      </c>
      <c r="H11" s="254">
        <f>SUMIF(77:77,G11,78:78)-SUMIF(77:77,C11,78:78)+100</f>
        <v>100</v>
      </c>
      <c r="I11" s="526" t="s">
        <v>3290</v>
      </c>
      <c r="J11" s="254">
        <f>SUMIF(77:77,I11,78:78)-SUMIF(77:77,C11,78:78)+100</f>
        <v>100</v>
      </c>
      <c r="K11" s="524"/>
      <c r="L11" s="2119"/>
      <c r="M11" s="2116"/>
      <c r="N11" s="2116"/>
      <c r="O11" s="2121"/>
      <c r="P11" s="3433" t="s">
        <v>535</v>
      </c>
      <c r="Q11" s="1147" t="str">
        <f t="shared" ref="Q11:Q17" si="6">B11</f>
        <v>用途</v>
      </c>
      <c r="R11" s="1554" t="s">
        <v>8</v>
      </c>
      <c r="S11" s="1555">
        <f t="shared" si="0"/>
        <v>100</v>
      </c>
      <c r="T11" s="1554" t="s">
        <v>8</v>
      </c>
      <c r="U11" s="1555">
        <f t="shared" si="1"/>
        <v>100</v>
      </c>
      <c r="V11" s="1554" t="s">
        <v>8</v>
      </c>
      <c r="W11" s="1555">
        <f t="shared" si="2"/>
        <v>100</v>
      </c>
      <c r="X11" s="1556"/>
      <c r="Y11" s="3379" t="s">
        <v>536</v>
      </c>
      <c r="Z11" s="1146" t="str">
        <f t="shared" ref="Z11:Z17" si="7">Q11</f>
        <v>用途</v>
      </c>
      <c r="AA11" s="1557">
        <f t="shared" si="3"/>
        <v>1</v>
      </c>
      <c r="AB11" s="1557">
        <f t="shared" si="4"/>
        <v>1</v>
      </c>
      <c r="AC11" s="1557">
        <f t="shared" si="5"/>
        <v>1</v>
      </c>
    </row>
    <row r="12" spans="1:30" s="1334" customFormat="1" ht="28.5">
      <c r="A12" s="2869"/>
      <c r="B12" s="2874" t="s">
        <v>2755</v>
      </c>
      <c r="C12" s="910" t="str">
        <f>项目基本情况!D20</f>
        <v>住宅64.4年、商业34.4年</v>
      </c>
      <c r="D12" s="255">
        <v>100</v>
      </c>
      <c r="E12" s="529" t="s">
        <v>3547</v>
      </c>
      <c r="F12" s="3204">
        <f>ROUND(100/地块汇总表!AI41,0)</f>
        <v>103</v>
      </c>
      <c r="G12" s="530" t="str">
        <f>E12</f>
        <v>住宅70、商业40</v>
      </c>
      <c r="H12" s="3204">
        <f>ROUND(100/地块汇总表!AI41,0)</f>
        <v>103</v>
      </c>
      <c r="I12" s="530" t="str">
        <f>E12</f>
        <v>住宅70、商业40</v>
      </c>
      <c r="J12" s="3204">
        <f>ROUND(100/地块汇总表!AI41,0)</f>
        <v>103</v>
      </c>
      <c r="K12" s="531"/>
      <c r="L12" s="2122"/>
      <c r="M12" s="2116"/>
      <c r="N12" s="2116"/>
      <c r="O12" s="2123"/>
      <c r="P12" s="3433"/>
      <c r="Q12" s="1147" t="str">
        <f t="shared" si="6"/>
        <v>土地使用年限（年）</v>
      </c>
      <c r="R12" s="1554" t="s">
        <v>8</v>
      </c>
      <c r="S12" s="1555">
        <f t="shared" si="0"/>
        <v>103</v>
      </c>
      <c r="T12" s="1554" t="s">
        <v>8</v>
      </c>
      <c r="U12" s="1555">
        <f t="shared" si="1"/>
        <v>103</v>
      </c>
      <c r="V12" s="1554" t="s">
        <v>8</v>
      </c>
      <c r="W12" s="1555">
        <f t="shared" si="2"/>
        <v>103</v>
      </c>
      <c r="X12" s="1556"/>
      <c r="Y12" s="3379"/>
      <c r="Z12" s="1146" t="str">
        <f t="shared" si="7"/>
        <v>土地使用年限（年）</v>
      </c>
      <c r="AA12" s="1557">
        <f t="shared" si="3"/>
        <v>0.970873786407767</v>
      </c>
      <c r="AB12" s="1557">
        <f t="shared" si="4"/>
        <v>0.970873786407767</v>
      </c>
      <c r="AC12" s="1557">
        <f t="shared" si="5"/>
        <v>0.970873786407767</v>
      </c>
    </row>
    <row r="13" spans="1:30" ht="20.25">
      <c r="A13" s="2870"/>
      <c r="B13" s="2874" t="s">
        <v>2756</v>
      </c>
      <c r="C13" s="534">
        <f>'数据-汇总表'!I7</f>
        <v>1.44</v>
      </c>
      <c r="D13" s="255">
        <v>100</v>
      </c>
      <c r="E13" s="533">
        <v>1.5</v>
      </c>
      <c r="F13" s="255">
        <f>LOOKUP(E13,82:82,83:83)-LOOKUP(C13,82:82,83:83)+100</f>
        <v>100</v>
      </c>
      <c r="G13" s="534">
        <v>1.5</v>
      </c>
      <c r="H13" s="255">
        <f>LOOKUP(G13,82:82,83:83)-LOOKUP(C13,82:82,83:83)+100</f>
        <v>100</v>
      </c>
      <c r="I13" s="533">
        <v>1.5</v>
      </c>
      <c r="J13" s="255">
        <f>LOOKUP(I13,82:82,83:83)-LOOKUP(C13,82:82,83:83)+100</f>
        <v>100</v>
      </c>
      <c r="K13" s="535">
        <v>0</v>
      </c>
      <c r="L13" s="2124"/>
      <c r="M13" s="2116"/>
      <c r="N13" s="2116"/>
      <c r="O13" s="2125"/>
      <c r="P13" s="3433"/>
      <c r="Q13" s="1147" t="str">
        <f t="shared" si="6"/>
        <v>容积率</v>
      </c>
      <c r="R13" s="1554" t="s">
        <v>8</v>
      </c>
      <c r="S13" s="1555">
        <f t="shared" si="0"/>
        <v>100</v>
      </c>
      <c r="T13" s="1554" t="s">
        <v>8</v>
      </c>
      <c r="U13" s="1555">
        <f t="shared" si="1"/>
        <v>100</v>
      </c>
      <c r="V13" s="1554" t="s">
        <v>8</v>
      </c>
      <c r="W13" s="1555">
        <f t="shared" si="2"/>
        <v>100</v>
      </c>
      <c r="X13" s="1556"/>
      <c r="Y13" s="3379"/>
      <c r="Z13" s="1146" t="str">
        <f t="shared" si="7"/>
        <v>容积率</v>
      </c>
      <c r="AA13" s="1557">
        <f t="shared" si="3"/>
        <v>1</v>
      </c>
      <c r="AB13" s="1557">
        <f t="shared" si="4"/>
        <v>1</v>
      </c>
      <c r="AC13" s="1557">
        <f t="shared" si="5"/>
        <v>1</v>
      </c>
    </row>
    <row r="14" spans="1:30" s="1216" customFormat="1" ht="21" thickBot="1">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433"/>
      <c r="Q14" s="1147" t="str">
        <f t="shared" si="6"/>
        <v>配建</v>
      </c>
      <c r="R14" s="1554" t="s">
        <v>8</v>
      </c>
      <c r="S14" s="1555">
        <f t="shared" si="0"/>
        <v>100</v>
      </c>
      <c r="T14" s="1554" t="s">
        <v>8</v>
      </c>
      <c r="U14" s="1555">
        <f t="shared" si="1"/>
        <v>100</v>
      </c>
      <c r="V14" s="1554" t="s">
        <v>8</v>
      </c>
      <c r="W14" s="1555">
        <f t="shared" si="2"/>
        <v>100</v>
      </c>
      <c r="X14" s="1556"/>
      <c r="Y14" s="3379"/>
      <c r="Z14" s="1146" t="str">
        <f t="shared" si="7"/>
        <v>配建</v>
      </c>
      <c r="AA14" s="1557">
        <f>D14/F14</f>
        <v>1</v>
      </c>
      <c r="AB14" s="1557">
        <f>D14/H14</f>
        <v>1</v>
      </c>
      <c r="AC14" s="1557">
        <f>D14/J14</f>
        <v>1</v>
      </c>
    </row>
    <row r="15" spans="1:30" ht="20.25" hidden="1">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33"/>
      <c r="Q15" s="1147">
        <f t="shared" si="6"/>
        <v>0</v>
      </c>
      <c r="R15" s="1554" t="s">
        <v>8</v>
      </c>
      <c r="S15" s="1555">
        <f t="shared" si="0"/>
        <v>100</v>
      </c>
      <c r="T15" s="1554" t="s">
        <v>8</v>
      </c>
      <c r="U15" s="1555">
        <f t="shared" si="1"/>
        <v>100</v>
      </c>
      <c r="V15" s="1554" t="s">
        <v>8</v>
      </c>
      <c r="W15" s="1555">
        <f t="shared" si="2"/>
        <v>100</v>
      </c>
      <c r="X15" s="1556"/>
      <c r="Y15" s="3379"/>
      <c r="Z15" s="1146">
        <f t="shared" si="7"/>
        <v>0</v>
      </c>
      <c r="AA15" s="1557">
        <f>D15/F15</f>
        <v>1</v>
      </c>
      <c r="AB15" s="1557">
        <f>D15/H15</f>
        <v>1</v>
      </c>
      <c r="AC15" s="1557">
        <f>D15/J15</f>
        <v>1</v>
      </c>
    </row>
    <row r="16" spans="1:30" ht="21" hidden="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33"/>
      <c r="Q16" s="1147">
        <f t="shared" si="6"/>
        <v>0</v>
      </c>
      <c r="R16" s="1554" t="s">
        <v>8</v>
      </c>
      <c r="S16" s="1555">
        <f t="shared" si="0"/>
        <v>100</v>
      </c>
      <c r="T16" s="1554" t="s">
        <v>8</v>
      </c>
      <c r="U16" s="1555">
        <f t="shared" si="1"/>
        <v>100</v>
      </c>
      <c r="V16" s="1554" t="s">
        <v>8</v>
      </c>
      <c r="W16" s="1555">
        <f t="shared" si="2"/>
        <v>100</v>
      </c>
      <c r="X16" s="1556"/>
      <c r="Y16" s="3379"/>
      <c r="Z16" s="1146">
        <f t="shared" si="7"/>
        <v>0</v>
      </c>
      <c r="AA16" s="1557">
        <f>D16/F16</f>
        <v>1</v>
      </c>
      <c r="AB16" s="1557">
        <f>D16/H16</f>
        <v>1</v>
      </c>
      <c r="AC16" s="1557">
        <f>D16/J16</f>
        <v>1</v>
      </c>
    </row>
    <row r="17" spans="1:29" ht="99.75">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106</v>
      </c>
      <c r="G17" s="550"/>
      <c r="H17" s="549">
        <f>SUMIF(90:90,G18,91:91)-SUMIF(90:90,C18,91:91)+100</f>
        <v>106</v>
      </c>
      <c r="I17" s="552"/>
      <c r="J17" s="549">
        <f>SUMIF(90:90,I18,91:91)-SUMIF(90:90,C18,91:91)+100</f>
        <v>106</v>
      </c>
      <c r="K17" s="535">
        <v>3</v>
      </c>
      <c r="L17" s="2126"/>
      <c r="M17" s="2116"/>
      <c r="N17" s="2116"/>
      <c r="O17" s="2125"/>
      <c r="P17" s="3467" t="s">
        <v>540</v>
      </c>
      <c r="Q17" s="1558" t="str">
        <f t="shared" si="6"/>
        <v>居住社区成熟度</v>
      </c>
      <c r="R17" s="1559" t="s">
        <v>8</v>
      </c>
      <c r="S17" s="1560">
        <f t="shared" si="0"/>
        <v>106</v>
      </c>
      <c r="T17" s="1559" t="s">
        <v>8</v>
      </c>
      <c r="U17" s="1560">
        <f t="shared" si="1"/>
        <v>106</v>
      </c>
      <c r="V17" s="1559" t="s">
        <v>8</v>
      </c>
      <c r="W17" s="1560">
        <f t="shared" si="2"/>
        <v>106</v>
      </c>
      <c r="X17" s="1553"/>
      <c r="Y17" s="3467" t="s">
        <v>540</v>
      </c>
      <c r="Z17" s="1561" t="str">
        <f t="shared" si="7"/>
        <v>居住社区成熟度</v>
      </c>
      <c r="AA17" s="1562">
        <f t="shared" si="3"/>
        <v>0.94339622641509435</v>
      </c>
      <c r="AB17" s="1562">
        <f t="shared" si="4"/>
        <v>0.94339622641509435</v>
      </c>
      <c r="AC17" s="1562">
        <f t="shared" si="5"/>
        <v>0.94339622641509435</v>
      </c>
    </row>
    <row r="18" spans="1:29" ht="20.25">
      <c r="A18" s="532"/>
      <c r="B18" s="553"/>
      <c r="C18" s="554" t="s">
        <v>3550</v>
      </c>
      <c r="D18" s="557"/>
      <c r="E18" s="558" t="s">
        <v>3551</v>
      </c>
      <c r="F18" s="555"/>
      <c r="G18" s="558" t="s">
        <v>3551</v>
      </c>
      <c r="H18" s="559"/>
      <c r="I18" s="558" t="s">
        <v>3551</v>
      </c>
      <c r="J18" s="555"/>
      <c r="K18" s="531"/>
      <c r="L18" s="2126"/>
      <c r="M18" s="2116"/>
      <c r="N18" s="2116"/>
      <c r="O18" s="2125"/>
      <c r="P18" s="3468"/>
      <c r="Q18" s="1558"/>
      <c r="R18" s="1559"/>
      <c r="S18" s="1560"/>
      <c r="T18" s="1559"/>
      <c r="U18" s="1560"/>
      <c r="V18" s="1559"/>
      <c r="W18" s="1560"/>
      <c r="X18" s="1553"/>
      <c r="Y18" s="3468"/>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106</v>
      </c>
      <c r="G19" s="562"/>
      <c r="H19" s="565">
        <f>SUMIF(92:92,G20,93:93)-SUMIF(92:92,C20,93:93)+100</f>
        <v>106</v>
      </c>
      <c r="I19" s="564"/>
      <c r="J19" s="565">
        <f>SUMIF(92:92,I20,93:93)-SUMIF(92:92,C20,93:93)+100</f>
        <v>106</v>
      </c>
      <c r="K19" s="3567">
        <v>3</v>
      </c>
      <c r="L19" s="2126"/>
      <c r="M19" s="2116"/>
      <c r="N19" s="2116"/>
      <c r="O19" s="2125"/>
      <c r="P19" s="3468"/>
      <c r="Q19" s="1558" t="str">
        <f>B19</f>
        <v>商业繁华度</v>
      </c>
      <c r="R19" s="1559" t="s">
        <v>8</v>
      </c>
      <c r="S19" s="1560">
        <f>F19</f>
        <v>106</v>
      </c>
      <c r="T19" s="1559" t="s">
        <v>8</v>
      </c>
      <c r="U19" s="1560">
        <f>H19</f>
        <v>106</v>
      </c>
      <c r="V19" s="1559" t="s">
        <v>8</v>
      </c>
      <c r="W19" s="1560">
        <f>J19</f>
        <v>106</v>
      </c>
      <c r="X19" s="1553"/>
      <c r="Y19" s="3468"/>
      <c r="Z19" s="1561" t="str">
        <f>Q19</f>
        <v>商业繁华度</v>
      </c>
      <c r="AA19" s="1562">
        <f t="shared" si="3"/>
        <v>0.94339622641509435</v>
      </c>
      <c r="AB19" s="1562">
        <f t="shared" si="4"/>
        <v>0.94339622641509435</v>
      </c>
      <c r="AC19" s="1562">
        <f t="shared" si="5"/>
        <v>0.94339622641509435</v>
      </c>
    </row>
    <row r="20" spans="1:29" ht="20.25">
      <c r="A20" s="532"/>
      <c r="B20" s="566"/>
      <c r="C20" s="567" t="s">
        <v>3550</v>
      </c>
      <c r="D20" s="563"/>
      <c r="E20" s="558" t="s">
        <v>3551</v>
      </c>
      <c r="F20" s="559"/>
      <c r="G20" s="558" t="s">
        <v>3551</v>
      </c>
      <c r="H20" s="555"/>
      <c r="I20" s="558" t="s">
        <v>3551</v>
      </c>
      <c r="J20" s="555"/>
      <c r="K20" s="531"/>
      <c r="L20" s="2126"/>
      <c r="M20" s="2116"/>
      <c r="N20" s="2116"/>
      <c r="O20" s="2125"/>
      <c r="P20" s="3468"/>
      <c r="Q20" s="1558"/>
      <c r="R20" s="1559"/>
      <c r="S20" s="1560"/>
      <c r="T20" s="1559"/>
      <c r="U20" s="1560"/>
      <c r="V20" s="1559"/>
      <c r="W20" s="1560"/>
      <c r="X20" s="1553"/>
      <c r="Y20" s="3468"/>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68"/>
      <c r="Q21" s="1558" t="str">
        <f>B21</f>
        <v>办公集聚程度</v>
      </c>
      <c r="R21" s="1559" t="s">
        <v>8</v>
      </c>
      <c r="S21" s="1560">
        <f>F21</f>
        <v>100</v>
      </c>
      <c r="T21" s="1559" t="s">
        <v>8</v>
      </c>
      <c r="U21" s="1560">
        <f>H21</f>
        <v>100</v>
      </c>
      <c r="V21" s="1559" t="s">
        <v>8</v>
      </c>
      <c r="W21" s="1560">
        <f>J21</f>
        <v>100</v>
      </c>
      <c r="X21" s="1553"/>
      <c r="Y21" s="346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6"/>
      <c r="M22" s="2116"/>
      <c r="N22" s="2116"/>
      <c r="O22" s="2125"/>
      <c r="P22" s="3468"/>
      <c r="Q22" s="1558"/>
      <c r="R22" s="1559"/>
      <c r="S22" s="1560"/>
      <c r="T22" s="1559"/>
      <c r="U22" s="1560"/>
      <c r="V22" s="1559"/>
      <c r="W22" s="1560"/>
      <c r="X22" s="1553"/>
      <c r="Y22" s="3468"/>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26"/>
      <c r="M23" s="2116"/>
      <c r="N23" s="2116"/>
      <c r="O23" s="2125"/>
      <c r="P23" s="3468"/>
      <c r="Q23" s="1558" t="str">
        <f>B23</f>
        <v>交通便捷度</v>
      </c>
      <c r="R23" s="1559" t="s">
        <v>8</v>
      </c>
      <c r="S23" s="1560">
        <f>F23</f>
        <v>103</v>
      </c>
      <c r="T23" s="1559" t="s">
        <v>8</v>
      </c>
      <c r="U23" s="1560">
        <f>H23</f>
        <v>103</v>
      </c>
      <c r="V23" s="1559" t="s">
        <v>8</v>
      </c>
      <c r="W23" s="1560">
        <f>J23</f>
        <v>103</v>
      </c>
      <c r="X23" s="1553"/>
      <c r="Y23" s="3468"/>
      <c r="Z23" s="1561" t="str">
        <f>Q23</f>
        <v>交通便捷度</v>
      </c>
      <c r="AA23" s="1562">
        <f t="shared" si="3"/>
        <v>0.970873786407767</v>
      </c>
      <c r="AB23" s="1562">
        <f t="shared" si="4"/>
        <v>0.970873786407767</v>
      </c>
      <c r="AC23" s="1562">
        <f t="shared" si="5"/>
        <v>0.970873786407767</v>
      </c>
    </row>
    <row r="24" spans="1:29" ht="20.25">
      <c r="A24" s="532"/>
      <c r="B24" s="578"/>
      <c r="C24" s="554" t="s">
        <v>3552</v>
      </c>
      <c r="D24" s="557"/>
      <c r="E24" s="558" t="s">
        <v>3551</v>
      </c>
      <c r="F24" s="555"/>
      <c r="G24" s="558" t="s">
        <v>3551</v>
      </c>
      <c r="H24" s="555"/>
      <c r="I24" s="558" t="s">
        <v>3551</v>
      </c>
      <c r="J24" s="555"/>
      <c r="K24" s="531"/>
      <c r="L24" s="2126"/>
      <c r="M24" s="2116"/>
      <c r="N24" s="2116"/>
      <c r="O24" s="2125"/>
      <c r="P24" s="3468"/>
      <c r="Q24" s="1558"/>
      <c r="R24" s="1559"/>
      <c r="S24" s="1560"/>
      <c r="T24" s="1559"/>
      <c r="U24" s="1560"/>
      <c r="V24" s="1559"/>
      <c r="W24" s="1560"/>
      <c r="X24" s="1553"/>
      <c r="Y24" s="346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6"/>
      <c r="M25" s="2116"/>
      <c r="N25" s="2116"/>
      <c r="O25" s="2125"/>
      <c r="P25" s="3468"/>
      <c r="Q25" s="1558" t="str">
        <f t="shared" ref="Q25:Q39" si="8">B25</f>
        <v>区域土地利用方向</v>
      </c>
      <c r="R25" s="1559" t="s">
        <v>8</v>
      </c>
      <c r="S25" s="1560">
        <f>F25</f>
        <v>100</v>
      </c>
      <c r="T25" s="1559" t="s">
        <v>8</v>
      </c>
      <c r="U25" s="1560">
        <f>H25</f>
        <v>100</v>
      </c>
      <c r="V25" s="1559" t="s">
        <v>8</v>
      </c>
      <c r="W25" s="1560">
        <f>J25</f>
        <v>100</v>
      </c>
      <c r="X25" s="1553"/>
      <c r="Y25" s="3468"/>
      <c r="Z25" s="1561" t="str">
        <f>Q25</f>
        <v>区域土地利用方向</v>
      </c>
      <c r="AA25" s="1562">
        <f t="shared" si="3"/>
        <v>1</v>
      </c>
      <c r="AB25" s="1562">
        <f t="shared" si="4"/>
        <v>1</v>
      </c>
      <c r="AC25" s="1562">
        <f t="shared" si="5"/>
        <v>1</v>
      </c>
    </row>
    <row r="26" spans="1:29" ht="20.25">
      <c r="A26" s="515"/>
      <c r="B26" s="1007"/>
      <c r="C26" s="554" t="s">
        <v>3545</v>
      </c>
      <c r="D26" s="557"/>
      <c r="E26" s="554" t="s">
        <v>3545</v>
      </c>
      <c r="F26" s="555"/>
      <c r="G26" s="554" t="s">
        <v>3545</v>
      </c>
      <c r="H26" s="555"/>
      <c r="I26" s="554" t="s">
        <v>3545</v>
      </c>
      <c r="J26" s="555"/>
      <c r="K26" s="531"/>
      <c r="L26" s="2126"/>
      <c r="M26" s="2116"/>
      <c r="N26" s="2116"/>
      <c r="O26" s="2125"/>
      <c r="P26" s="3468"/>
      <c r="Q26" s="1558"/>
      <c r="R26" s="1559"/>
      <c r="S26" s="1560"/>
      <c r="T26" s="1559"/>
      <c r="U26" s="1560"/>
      <c r="V26" s="1559"/>
      <c r="W26" s="1560"/>
      <c r="X26" s="1553"/>
      <c r="Y26" s="3468"/>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3567">
        <v>5</v>
      </c>
      <c r="L27" s="2126"/>
      <c r="M27" s="2116"/>
      <c r="N27" s="2116"/>
      <c r="O27" s="2125"/>
      <c r="P27" s="3468"/>
      <c r="Q27" s="1558" t="str">
        <f t="shared" si="8"/>
        <v>自然及人文环境状况</v>
      </c>
      <c r="R27" s="1559" t="s">
        <v>8</v>
      </c>
      <c r="S27" s="1560">
        <f>F27</f>
        <v>95</v>
      </c>
      <c r="T27" s="1559" t="s">
        <v>8</v>
      </c>
      <c r="U27" s="1560">
        <f>H27</f>
        <v>95</v>
      </c>
      <c r="V27" s="1559" t="s">
        <v>8</v>
      </c>
      <c r="W27" s="1560">
        <f>J27</f>
        <v>95</v>
      </c>
      <c r="X27" s="1553"/>
      <c r="Y27" s="3468"/>
      <c r="Z27" s="1561" t="str">
        <f>Q27</f>
        <v>自然及人文环境状况</v>
      </c>
      <c r="AA27" s="1562">
        <f t="shared" si="3"/>
        <v>1.0526315789473684</v>
      </c>
      <c r="AB27" s="1562">
        <f t="shared" si="4"/>
        <v>1.0526315789473684</v>
      </c>
      <c r="AC27" s="1562">
        <f t="shared" si="5"/>
        <v>1.0526315789473684</v>
      </c>
    </row>
    <row r="28" spans="1:29" ht="20.25">
      <c r="A28" s="515"/>
      <c r="B28" s="566"/>
      <c r="C28" s="554" t="s">
        <v>3545</v>
      </c>
      <c r="D28" s="557"/>
      <c r="E28" s="576" t="s">
        <v>3551</v>
      </c>
      <c r="F28" s="555"/>
      <c r="G28" s="576" t="s">
        <v>3551</v>
      </c>
      <c r="H28" s="555"/>
      <c r="I28" s="576" t="s">
        <v>3551</v>
      </c>
      <c r="J28" s="555"/>
      <c r="K28" s="531"/>
      <c r="L28" s="2126"/>
      <c r="M28" s="2116"/>
      <c r="N28" s="2116"/>
      <c r="O28" s="2125"/>
      <c r="P28" s="3468"/>
      <c r="Q28" s="1558"/>
      <c r="R28" s="1559"/>
      <c r="S28" s="1560"/>
      <c r="T28" s="1559"/>
      <c r="U28" s="1560"/>
      <c r="V28" s="1559"/>
      <c r="W28" s="1560"/>
      <c r="X28" s="1553"/>
      <c r="Y28" s="3468"/>
      <c r="Z28" s="1561"/>
      <c r="AA28" s="1562">
        <v>1</v>
      </c>
      <c r="AB28" s="1562">
        <v>1</v>
      </c>
      <c r="AC28" s="1562">
        <v>1</v>
      </c>
    </row>
    <row r="29" spans="1:29" s="1216" customFormat="1" ht="42.75">
      <c r="A29" s="577"/>
      <c r="B29" s="2554"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110</v>
      </c>
      <c r="K29" s="3567">
        <v>5</v>
      </c>
      <c r="L29" s="2119"/>
      <c r="M29" s="2116"/>
      <c r="N29" s="2116"/>
      <c r="O29" s="2121"/>
      <c r="P29" s="3468"/>
      <c r="Q29" s="1147" t="str">
        <f t="shared" si="8"/>
        <v>公共配套设施</v>
      </c>
      <c r="R29" s="1554" t="s">
        <v>8</v>
      </c>
      <c r="S29" s="1555">
        <f>F29</f>
        <v>110</v>
      </c>
      <c r="T29" s="1554" t="s">
        <v>8</v>
      </c>
      <c r="U29" s="1555">
        <f>H29</f>
        <v>110</v>
      </c>
      <c r="V29" s="1554" t="s">
        <v>8</v>
      </c>
      <c r="W29" s="1555">
        <f>J29</f>
        <v>110</v>
      </c>
      <c r="X29" s="1556"/>
      <c r="Y29" s="3468"/>
      <c r="Z29" s="1146" t="str">
        <f>Q29</f>
        <v>公共配套设施</v>
      </c>
      <c r="AA29" s="1562">
        <f>D29/F29</f>
        <v>0.90909090909090906</v>
      </c>
      <c r="AB29" s="1562">
        <f>D29/H29</f>
        <v>0.90909090909090906</v>
      </c>
      <c r="AC29" s="1562">
        <f>D29/J29</f>
        <v>0.90909090909090906</v>
      </c>
    </row>
    <row r="30" spans="1:29" s="1216" customFormat="1" ht="20.25">
      <c r="A30" s="577"/>
      <c r="B30" s="566"/>
      <c r="C30" s="579" t="s">
        <v>3550</v>
      </c>
      <c r="D30" s="557"/>
      <c r="E30" s="576" t="s">
        <v>3551</v>
      </c>
      <c r="F30" s="555"/>
      <c r="G30" s="576" t="s">
        <v>3551</v>
      </c>
      <c r="H30" s="555"/>
      <c r="I30" s="576" t="s">
        <v>3551</v>
      </c>
      <c r="J30" s="555"/>
      <c r="K30" s="531"/>
      <c r="L30" s="2119"/>
      <c r="M30" s="2116"/>
      <c r="N30" s="2116"/>
      <c r="O30" s="2121"/>
      <c r="P30" s="3468"/>
      <c r="Q30" s="1147"/>
      <c r="R30" s="1554"/>
      <c r="S30" s="1555"/>
      <c r="T30" s="1554"/>
      <c r="U30" s="1555"/>
      <c r="V30" s="1554"/>
      <c r="W30" s="1555"/>
      <c r="X30" s="1556"/>
      <c r="Y30" s="3468"/>
      <c r="Z30" s="1146"/>
      <c r="AA30" s="1562">
        <v>1</v>
      </c>
      <c r="AB30" s="1562">
        <v>1</v>
      </c>
      <c r="AC30" s="1562">
        <v>1</v>
      </c>
    </row>
    <row r="31" spans="1:29" s="1216" customFormat="1" ht="28.5">
      <c r="A31" s="577"/>
      <c r="B31" s="2554"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68"/>
      <c r="Q31" s="2541" t="str">
        <f t="shared" ref="Q31" si="9">B31</f>
        <v>基础设施水平</v>
      </c>
      <c r="R31" s="1554" t="s">
        <v>8</v>
      </c>
      <c r="S31" s="1555">
        <f>F31</f>
        <v>100</v>
      </c>
      <c r="T31" s="1554" t="s">
        <v>8</v>
      </c>
      <c r="U31" s="1555">
        <f>H31</f>
        <v>100</v>
      </c>
      <c r="V31" s="1554" t="s">
        <v>8</v>
      </c>
      <c r="W31" s="1555">
        <f>J31</f>
        <v>100</v>
      </c>
      <c r="X31" s="1556"/>
      <c r="Y31" s="3468"/>
      <c r="Z31" s="2538" t="str">
        <f>Q31</f>
        <v>基础设施水平</v>
      </c>
      <c r="AA31" s="1562">
        <f>D31/F31</f>
        <v>1</v>
      </c>
      <c r="AB31" s="1562">
        <f>D31/H31</f>
        <v>1</v>
      </c>
      <c r="AC31" s="1562">
        <f>D31/J31</f>
        <v>1</v>
      </c>
    </row>
    <row r="32" spans="1:29" s="1216" customFormat="1" ht="20.25">
      <c r="A32" s="577"/>
      <c r="B32" s="566"/>
      <c r="C32" s="579" t="s">
        <v>3553</v>
      </c>
      <c r="D32" s="557"/>
      <c r="E32" s="579" t="s">
        <v>3553</v>
      </c>
      <c r="F32" s="555"/>
      <c r="G32" s="579" t="s">
        <v>3553</v>
      </c>
      <c r="H32" s="555"/>
      <c r="I32" s="579" t="s">
        <v>3553</v>
      </c>
      <c r="J32" s="555"/>
      <c r="K32" s="531"/>
      <c r="L32" s="2119"/>
      <c r="M32" s="2116"/>
      <c r="N32" s="2116"/>
      <c r="O32" s="2121"/>
      <c r="P32" s="3468"/>
      <c r="Q32" s="2541"/>
      <c r="R32" s="1554"/>
      <c r="S32" s="1555"/>
      <c r="T32" s="1554"/>
      <c r="U32" s="1555"/>
      <c r="V32" s="1554"/>
      <c r="W32" s="1555"/>
      <c r="X32" s="1556"/>
      <c r="Y32" s="3468"/>
      <c r="Z32" s="2538"/>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6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68"/>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68"/>
      <c r="Q34" s="1558" t="str">
        <f t="shared" si="8"/>
        <v>毗邻道路的类型与等级</v>
      </c>
      <c r="R34" s="1559" t="s">
        <v>8</v>
      </c>
      <c r="S34" s="1560">
        <f t="shared" si="10"/>
        <v>100</v>
      </c>
      <c r="T34" s="1559" t="s">
        <v>8</v>
      </c>
      <c r="U34" s="1560">
        <f t="shared" si="11"/>
        <v>100</v>
      </c>
      <c r="V34" s="1559" t="s">
        <v>8</v>
      </c>
      <c r="W34" s="1560">
        <f t="shared" si="12"/>
        <v>100</v>
      </c>
      <c r="X34" s="1553"/>
      <c r="Y34" s="3468"/>
      <c r="Z34" s="1561" t="str">
        <f t="shared" si="13"/>
        <v>毗邻道路的类型与等级</v>
      </c>
      <c r="AA34" s="1562">
        <f t="shared" si="3"/>
        <v>1</v>
      </c>
      <c r="AB34" s="1562">
        <f t="shared" si="4"/>
        <v>1</v>
      </c>
      <c r="AC34" s="1562">
        <f t="shared" si="5"/>
        <v>1</v>
      </c>
    </row>
    <row r="35" spans="1:29" ht="21" thickBot="1">
      <c r="A35" s="532"/>
      <c r="B35" s="566"/>
      <c r="C35" s="554"/>
      <c r="D35" s="557"/>
      <c r="E35" s="576"/>
      <c r="F35" s="555"/>
      <c r="G35" s="554"/>
      <c r="H35" s="555"/>
      <c r="I35" s="576"/>
      <c r="J35" s="555"/>
      <c r="K35" s="581"/>
      <c r="L35" s="2126"/>
      <c r="M35" s="2116"/>
      <c r="N35" s="2116"/>
      <c r="O35" s="2125"/>
      <c r="P35" s="3468"/>
      <c r="Q35" s="1558"/>
      <c r="R35" s="1559"/>
      <c r="S35" s="1560"/>
      <c r="T35" s="1559"/>
      <c r="U35" s="1560"/>
      <c r="V35" s="1559"/>
      <c r="W35" s="1560"/>
      <c r="X35" s="1553"/>
      <c r="Y35" s="3468"/>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68"/>
      <c r="Q36" s="1558" t="str">
        <f t="shared" si="8"/>
        <v>土地级别</v>
      </c>
      <c r="R36" s="1559" t="s">
        <v>8</v>
      </c>
      <c r="S36" s="1560">
        <f t="shared" si="10"/>
        <v>100</v>
      </c>
      <c r="T36" s="1559" t="s">
        <v>8</v>
      </c>
      <c r="U36" s="1560">
        <f t="shared" si="11"/>
        <v>100</v>
      </c>
      <c r="V36" s="1559" t="s">
        <v>8</v>
      </c>
      <c r="W36" s="1560">
        <f t="shared" si="12"/>
        <v>100</v>
      </c>
      <c r="X36" s="1553"/>
      <c r="Y36" s="3468"/>
      <c r="Z36" s="1561" t="str">
        <f t="shared" si="13"/>
        <v>土地级别</v>
      </c>
      <c r="AA36" s="1562">
        <f t="shared" si="3"/>
        <v>1</v>
      </c>
      <c r="AB36" s="1562">
        <f t="shared" si="4"/>
        <v>1</v>
      </c>
      <c r="AC36" s="1562">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68"/>
      <c r="Q37" s="1558">
        <f t="shared" si="8"/>
        <v>0</v>
      </c>
      <c r="R37" s="1559" t="s">
        <v>8</v>
      </c>
      <c r="S37" s="1560">
        <f t="shared" si="10"/>
        <v>100</v>
      </c>
      <c r="T37" s="1559" t="s">
        <v>8</v>
      </c>
      <c r="U37" s="1560">
        <f t="shared" si="11"/>
        <v>100</v>
      </c>
      <c r="V37" s="1559" t="s">
        <v>8</v>
      </c>
      <c r="W37" s="1560">
        <f t="shared" si="12"/>
        <v>100</v>
      </c>
      <c r="X37" s="1553"/>
      <c r="Y37" s="3468"/>
      <c r="Z37" s="1561">
        <f t="shared" si="13"/>
        <v>0</v>
      </c>
      <c r="AA37" s="1562">
        <f t="shared" si="3"/>
        <v>1</v>
      </c>
      <c r="AB37" s="1562">
        <f t="shared" si="4"/>
        <v>1</v>
      </c>
      <c r="AC37" s="1562">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9" t="s">
        <v>550</v>
      </c>
      <c r="Q38" s="1558">
        <f t="shared" si="8"/>
        <v>0</v>
      </c>
      <c r="R38" s="1559" t="s">
        <v>8</v>
      </c>
      <c r="S38" s="1560">
        <f t="shared" si="10"/>
        <v>100</v>
      </c>
      <c r="T38" s="1559" t="s">
        <v>8</v>
      </c>
      <c r="U38" s="1560">
        <f t="shared" si="11"/>
        <v>100</v>
      </c>
      <c r="V38" s="1559" t="s">
        <v>8</v>
      </c>
      <c r="W38" s="1560">
        <f t="shared" si="12"/>
        <v>100</v>
      </c>
      <c r="X38" s="1553"/>
      <c r="Y38" s="3470" t="s">
        <v>550</v>
      </c>
      <c r="Z38" s="1561">
        <f t="shared" si="13"/>
        <v>0</v>
      </c>
      <c r="AA38" s="1562">
        <f t="shared" si="3"/>
        <v>1</v>
      </c>
      <c r="AB38" s="1562">
        <f t="shared" si="4"/>
        <v>1</v>
      </c>
      <c r="AC38" s="1562">
        <f t="shared" si="5"/>
        <v>1</v>
      </c>
    </row>
    <row r="39" spans="1:29" s="1335"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70"/>
      <c r="Q39" s="1558">
        <f t="shared" si="8"/>
        <v>0</v>
      </c>
      <c r="R39" s="1563" t="s">
        <v>8</v>
      </c>
      <c r="S39" s="1564">
        <f t="shared" si="10"/>
        <v>100</v>
      </c>
      <c r="T39" s="1563" t="s">
        <v>8</v>
      </c>
      <c r="U39" s="1564">
        <f t="shared" si="11"/>
        <v>100</v>
      </c>
      <c r="V39" s="1563" t="s">
        <v>8</v>
      </c>
      <c r="W39" s="1564">
        <f t="shared" si="12"/>
        <v>100</v>
      </c>
      <c r="X39" s="1565"/>
      <c r="Y39" s="3470"/>
      <c r="Z39" s="1566">
        <f t="shared" si="13"/>
        <v>0</v>
      </c>
      <c r="AA39" s="1562">
        <f t="shared" si="3"/>
        <v>1</v>
      </c>
      <c r="AB39" s="1562">
        <f t="shared" si="4"/>
        <v>1</v>
      </c>
      <c r="AC39" s="1562">
        <f t="shared" si="5"/>
        <v>1</v>
      </c>
    </row>
    <row r="40" spans="1:29" ht="20.25">
      <c r="A40" s="2861" t="s">
        <v>2753</v>
      </c>
      <c r="B40" s="595" t="s">
        <v>552</v>
      </c>
      <c r="C40" s="3203">
        <f>地块汇总表!K40</f>
        <v>1775423</v>
      </c>
      <c r="D40" s="597">
        <v>100</v>
      </c>
      <c r="E40" s="596">
        <f>土地案例!E14</f>
        <v>9873</v>
      </c>
      <c r="F40" s="597">
        <f>LOOKUP(E40,119:119,120:120)-LOOKUP(C40,119:119,120:120)+100</f>
        <v>100</v>
      </c>
      <c r="G40" s="596">
        <f>土地案例!E16</f>
        <v>46877</v>
      </c>
      <c r="H40" s="597">
        <f>LOOKUP(G40,119:119,120:120)-LOOKUP(C40,119:119,120:120)+100</f>
        <v>100</v>
      </c>
      <c r="I40" s="598">
        <f>土地案例!E17</f>
        <v>61087</v>
      </c>
      <c r="J40" s="597">
        <f>LOOKUP(I40,119:119,120:120)-LOOKUP(C40,119:119,120:120)+100</f>
        <v>100</v>
      </c>
      <c r="K40" s="581"/>
      <c r="L40" s="2126"/>
      <c r="M40" s="2116"/>
      <c r="N40" s="2116"/>
      <c r="O40" s="2125"/>
      <c r="P40" s="3470"/>
      <c r="Q40" s="1558" t="str">
        <f>B40</f>
        <v>宗地面积</v>
      </c>
      <c r="R40" s="1559" t="s">
        <v>8</v>
      </c>
      <c r="S40" s="1560">
        <f t="shared" si="10"/>
        <v>100</v>
      </c>
      <c r="T40" s="1559" t="s">
        <v>8</v>
      </c>
      <c r="U40" s="1560">
        <f t="shared" si="11"/>
        <v>100</v>
      </c>
      <c r="V40" s="1559" t="s">
        <v>8</v>
      </c>
      <c r="W40" s="1560">
        <f t="shared" si="12"/>
        <v>100</v>
      </c>
      <c r="X40" s="1553"/>
      <c r="Y40" s="3470"/>
      <c r="Z40" s="1561" t="str">
        <f t="shared" si="13"/>
        <v>宗地面积</v>
      </c>
      <c r="AA40" s="1562">
        <f t="shared" si="3"/>
        <v>1</v>
      </c>
      <c r="AB40" s="1562">
        <f t="shared" si="4"/>
        <v>1</v>
      </c>
      <c r="AC40" s="1562">
        <f t="shared" si="5"/>
        <v>1</v>
      </c>
    </row>
    <row r="41" spans="1:29" ht="20.25">
      <c r="A41" s="594"/>
      <c r="B41" s="527" t="s">
        <v>553</v>
      </c>
      <c r="C41" s="599" t="s">
        <v>3536</v>
      </c>
      <c r="D41" s="540">
        <v>100</v>
      </c>
      <c r="E41" s="599" t="s">
        <v>3536</v>
      </c>
      <c r="F41" s="540">
        <f>SUMIF(121:121,E41,122:122)-SUMIF(121:121,C41,122:122)+100</f>
        <v>100</v>
      </c>
      <c r="G41" s="599" t="s">
        <v>3536</v>
      </c>
      <c r="H41" s="540">
        <f>SUMIF(121:121,G41,122:122)-SUMIF(121:121,C41,122:122)+100</f>
        <v>100</v>
      </c>
      <c r="I41" s="599" t="s">
        <v>3536</v>
      </c>
      <c r="J41" s="540">
        <f>SUMIF(121:121,I41,122:122)-SUMIF(121:121,C41,122:122)+100</f>
        <v>100</v>
      </c>
      <c r="K41" s="584">
        <v>2</v>
      </c>
      <c r="L41" s="2126"/>
      <c r="M41" s="2116"/>
      <c r="N41" s="2116"/>
      <c r="O41" s="2125"/>
      <c r="P41" s="3470"/>
      <c r="Q41" s="1558" t="str">
        <f t="shared" ref="Q41:Q47" si="14">B41</f>
        <v>宗地形状</v>
      </c>
      <c r="R41" s="1559" t="s">
        <v>8</v>
      </c>
      <c r="S41" s="1560">
        <f t="shared" si="10"/>
        <v>100</v>
      </c>
      <c r="T41" s="1559" t="s">
        <v>8</v>
      </c>
      <c r="U41" s="1560">
        <f t="shared" si="11"/>
        <v>100</v>
      </c>
      <c r="V41" s="1559" t="s">
        <v>8</v>
      </c>
      <c r="W41" s="1560">
        <f t="shared" si="12"/>
        <v>100</v>
      </c>
      <c r="X41" s="1553"/>
      <c r="Y41" s="3470"/>
      <c r="Z41" s="1561" t="str">
        <f t="shared" si="13"/>
        <v>宗地形状</v>
      </c>
      <c r="AA41" s="1562">
        <f t="shared" si="3"/>
        <v>1</v>
      </c>
      <c r="AB41" s="1562">
        <f t="shared" si="4"/>
        <v>1</v>
      </c>
      <c r="AC41" s="1562">
        <f t="shared" si="5"/>
        <v>1</v>
      </c>
    </row>
    <row r="42" spans="1:29" ht="20.25">
      <c r="A42" s="594"/>
      <c r="B42" s="527" t="s">
        <v>554</v>
      </c>
      <c r="C42" s="599" t="s">
        <v>3538</v>
      </c>
      <c r="D42" s="540">
        <v>100</v>
      </c>
      <c r="E42" s="599" t="s">
        <v>3538</v>
      </c>
      <c r="F42" s="540">
        <f>SUMIF(123:123,E42,124:124)-SUMIF(123:123,C42,124:124)+100</f>
        <v>100</v>
      </c>
      <c r="G42" s="599" t="s">
        <v>3538</v>
      </c>
      <c r="H42" s="540">
        <f>SUMIF(123:123,G42,124:124)-SUMIF(123:123,C42,124:124)+100</f>
        <v>100</v>
      </c>
      <c r="I42" s="599" t="s">
        <v>3538</v>
      </c>
      <c r="J42" s="540">
        <f>SUMIF(123:123,I42,124:124)-SUMIF(123:123,C42,124:124)+100</f>
        <v>100</v>
      </c>
      <c r="K42" s="584">
        <v>2</v>
      </c>
      <c r="L42" s="2126"/>
      <c r="M42" s="2116"/>
      <c r="N42" s="2116"/>
      <c r="O42" s="2125"/>
      <c r="P42" s="3470"/>
      <c r="Q42" s="1558" t="str">
        <f t="shared" si="14"/>
        <v>临街宽度及深度</v>
      </c>
      <c r="R42" s="1559" t="s">
        <v>8</v>
      </c>
      <c r="S42" s="1560">
        <f t="shared" si="10"/>
        <v>100</v>
      </c>
      <c r="T42" s="1559" t="s">
        <v>8</v>
      </c>
      <c r="U42" s="1560">
        <f t="shared" si="11"/>
        <v>100</v>
      </c>
      <c r="V42" s="1559" t="s">
        <v>8</v>
      </c>
      <c r="W42" s="1560">
        <f t="shared" si="12"/>
        <v>100</v>
      </c>
      <c r="X42" s="1553"/>
      <c r="Y42" s="3470"/>
      <c r="Z42" s="1561" t="str">
        <f t="shared" si="13"/>
        <v>临街宽度及深度</v>
      </c>
      <c r="AA42" s="1562">
        <f t="shared" si="3"/>
        <v>1</v>
      </c>
      <c r="AB42" s="1562">
        <f t="shared" si="4"/>
        <v>1</v>
      </c>
      <c r="AC42" s="1562">
        <f t="shared" si="5"/>
        <v>1</v>
      </c>
    </row>
    <row r="43" spans="1:29" s="1216" customFormat="1" ht="20.25">
      <c r="A43" s="600"/>
      <c r="B43" s="1879"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70"/>
      <c r="Q43" s="1558" t="str">
        <f t="shared" si="14"/>
        <v>宗地开发程度</v>
      </c>
      <c r="R43" s="1554" t="s">
        <v>8</v>
      </c>
      <c r="S43" s="1555">
        <f t="shared" si="10"/>
        <v>100</v>
      </c>
      <c r="T43" s="1554" t="s">
        <v>8</v>
      </c>
      <c r="U43" s="1555">
        <f t="shared" si="11"/>
        <v>100</v>
      </c>
      <c r="V43" s="1554" t="s">
        <v>8</v>
      </c>
      <c r="W43" s="1555">
        <f t="shared" si="12"/>
        <v>100</v>
      </c>
      <c r="X43" s="1556"/>
      <c r="Y43" s="3470"/>
      <c r="Z43" s="1146" t="str">
        <f t="shared" si="13"/>
        <v>宗地开发程度</v>
      </c>
      <c r="AA43" s="1557">
        <f t="shared" si="3"/>
        <v>1</v>
      </c>
      <c r="AB43" s="1557">
        <f t="shared" si="4"/>
        <v>1</v>
      </c>
      <c r="AC43" s="1557">
        <f t="shared" si="5"/>
        <v>1</v>
      </c>
    </row>
    <row r="44" spans="1:29" ht="21" thickBot="1">
      <c r="A44" s="594"/>
      <c r="B44" s="527" t="s">
        <v>555</v>
      </c>
      <c r="C44" s="599" t="s">
        <v>3545</v>
      </c>
      <c r="D44" s="540">
        <v>100</v>
      </c>
      <c r="E44" s="599" t="s">
        <v>3545</v>
      </c>
      <c r="F44" s="540">
        <f>SUMIF(127:127,E44,128:128)-SUMIF(127:127,C44,128:128)+100</f>
        <v>100</v>
      </c>
      <c r="G44" s="599" t="s">
        <v>3545</v>
      </c>
      <c r="H44" s="540">
        <f>SUMIF(127:127,G44,128:128)-SUMIF(127:127,C44,128:128)+100</f>
        <v>100</v>
      </c>
      <c r="I44" s="599" t="s">
        <v>3545</v>
      </c>
      <c r="J44" s="540">
        <f>SUMIF(127:127,I44,128:128)-SUMIF(127:127,C44,128:128)+100</f>
        <v>100</v>
      </c>
      <c r="K44" s="584">
        <v>2</v>
      </c>
      <c r="L44" s="2126"/>
      <c r="M44" s="2116"/>
      <c r="N44" s="2116"/>
      <c r="O44" s="2125"/>
      <c r="P44" s="3470" t="s">
        <v>550</v>
      </c>
      <c r="Q44" s="1558" t="str">
        <f t="shared" si="14"/>
        <v>工程地质条件</v>
      </c>
      <c r="R44" s="1559" t="s">
        <v>8</v>
      </c>
      <c r="S44" s="1560">
        <f t="shared" si="10"/>
        <v>100</v>
      </c>
      <c r="T44" s="1559" t="s">
        <v>8</v>
      </c>
      <c r="U44" s="1560">
        <f t="shared" si="11"/>
        <v>100</v>
      </c>
      <c r="V44" s="1559" t="s">
        <v>8</v>
      </c>
      <c r="W44" s="1560">
        <f t="shared" si="12"/>
        <v>100</v>
      </c>
      <c r="X44" s="1553"/>
      <c r="Y44" s="3470" t="s">
        <v>550</v>
      </c>
      <c r="Z44" s="1561" t="str">
        <f t="shared" si="13"/>
        <v>工程地质条件</v>
      </c>
      <c r="AA44" s="1562">
        <f t="shared" si="3"/>
        <v>1</v>
      </c>
      <c r="AB44" s="1562">
        <f t="shared" si="4"/>
        <v>1</v>
      </c>
      <c r="AC44" s="1562">
        <f t="shared" si="5"/>
        <v>1</v>
      </c>
    </row>
    <row r="45" spans="1:29" ht="21" thickTop="1">
      <c r="A45" s="594"/>
      <c r="B45" s="3205" t="s">
        <v>3612</v>
      </c>
      <c r="C45" s="688" t="s">
        <v>3557</v>
      </c>
      <c r="D45" s="540">
        <v>100</v>
      </c>
      <c r="E45" s="3200" t="s">
        <v>3556</v>
      </c>
      <c r="F45" s="540">
        <f>SUMIF(129:129,E45,130:130)-SUMIF(129:129,C45,130:130)+100</f>
        <v>103</v>
      </c>
      <c r="G45" s="3200" t="s">
        <v>3554</v>
      </c>
      <c r="H45" s="540">
        <f>SUMIF(129:129,G45,130:130)-SUMIF(129:129,C45,130:130)+100</f>
        <v>109</v>
      </c>
      <c r="I45" s="3200" t="s">
        <v>3554</v>
      </c>
      <c r="J45" s="540">
        <f>SUMIF(129:129,I45,130:130)-SUMIF(129:129,C45,130:130)+100</f>
        <v>109</v>
      </c>
      <c r="K45" s="581"/>
      <c r="L45" s="2126"/>
      <c r="M45" s="2116"/>
      <c r="N45" s="2116"/>
      <c r="O45" s="2125"/>
      <c r="P45" s="3470"/>
      <c r="Q45" s="1558" t="str">
        <f t="shared" si="14"/>
        <v>宗地面积</v>
      </c>
      <c r="R45" s="1559" t="s">
        <v>8</v>
      </c>
      <c r="S45" s="1560">
        <f t="shared" si="10"/>
        <v>103</v>
      </c>
      <c r="T45" s="1559" t="s">
        <v>8</v>
      </c>
      <c r="U45" s="1560">
        <f t="shared" si="11"/>
        <v>109</v>
      </c>
      <c r="V45" s="1559" t="s">
        <v>8</v>
      </c>
      <c r="W45" s="1560">
        <f t="shared" si="12"/>
        <v>109</v>
      </c>
      <c r="X45" s="1553"/>
      <c r="Y45" s="3470"/>
      <c r="Z45" s="1561" t="str">
        <f t="shared" si="13"/>
        <v>宗地面积</v>
      </c>
      <c r="AA45" s="1562">
        <f t="shared" si="3"/>
        <v>0.970873786407767</v>
      </c>
      <c r="AB45" s="1562">
        <f t="shared" si="4"/>
        <v>0.91743119266055051</v>
      </c>
      <c r="AC45" s="1562">
        <f t="shared" si="5"/>
        <v>0.91743119266055051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70"/>
      <c r="Q46" s="1558">
        <f t="shared" si="14"/>
        <v>0</v>
      </c>
      <c r="R46" s="1559" t="s">
        <v>8</v>
      </c>
      <c r="S46" s="1560">
        <f t="shared" si="10"/>
        <v>100</v>
      </c>
      <c r="T46" s="1559" t="s">
        <v>8</v>
      </c>
      <c r="U46" s="1560">
        <f t="shared" si="11"/>
        <v>100</v>
      </c>
      <c r="V46" s="1559" t="s">
        <v>8</v>
      </c>
      <c r="W46" s="1560">
        <f t="shared" si="12"/>
        <v>100</v>
      </c>
      <c r="X46" s="1553"/>
      <c r="Y46" s="3470"/>
      <c r="Z46" s="1561">
        <f t="shared" si="13"/>
        <v>0</v>
      </c>
      <c r="AA46" s="1562">
        <f t="shared" si="3"/>
        <v>1</v>
      </c>
      <c r="AB46" s="1562">
        <f t="shared" si="4"/>
        <v>1</v>
      </c>
      <c r="AC46" s="1562">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70"/>
      <c r="Q47" s="1558">
        <f t="shared" si="14"/>
        <v>0</v>
      </c>
      <c r="R47" s="1563" t="s">
        <v>8</v>
      </c>
      <c r="S47" s="1564">
        <f t="shared" si="10"/>
        <v>100</v>
      </c>
      <c r="T47" s="1563" t="s">
        <v>8</v>
      </c>
      <c r="U47" s="1564">
        <f t="shared" si="11"/>
        <v>100</v>
      </c>
      <c r="V47" s="1563" t="s">
        <v>8</v>
      </c>
      <c r="W47" s="1564">
        <f t="shared" si="12"/>
        <v>100</v>
      </c>
      <c r="X47" s="1565"/>
      <c r="Y47" s="3470"/>
      <c r="Z47" s="1566">
        <f t="shared" si="13"/>
        <v>0</v>
      </c>
      <c r="AA47" s="1562">
        <f t="shared" si="3"/>
        <v>1</v>
      </c>
      <c r="AB47" s="1562">
        <f t="shared" si="4"/>
        <v>1</v>
      </c>
      <c r="AC47" s="1562">
        <f t="shared" si="5"/>
        <v>1</v>
      </c>
    </row>
    <row r="48" spans="1:29" ht="20.25">
      <c r="A48" s="607" t="s">
        <v>556</v>
      </c>
      <c r="B48" s="608" t="s">
        <v>3530</v>
      </c>
      <c r="C48" s="609" t="s">
        <v>1</v>
      </c>
      <c r="D48" s="610"/>
      <c r="E48" s="611">
        <v>2154</v>
      </c>
      <c r="F48" s="612"/>
      <c r="G48" s="613">
        <v>2241</v>
      </c>
      <c r="H48" s="614"/>
      <c r="I48" s="611">
        <v>1817</v>
      </c>
      <c r="J48" s="614"/>
      <c r="K48" s="1336"/>
      <c r="L48" s="2128"/>
      <c r="M48" s="2116"/>
      <c r="N48" s="2116"/>
      <c r="O48" s="2129"/>
      <c r="P48" s="3433" t="str">
        <f>A48</f>
        <v>成交单价</v>
      </c>
      <c r="Q48" s="3433"/>
      <c r="R48" s="3434">
        <f>E48</f>
        <v>2154</v>
      </c>
      <c r="S48" s="3434"/>
      <c r="T48" s="3434">
        <f>G48</f>
        <v>2241</v>
      </c>
      <c r="U48" s="3434"/>
      <c r="V48" s="3434">
        <f>I48</f>
        <v>1817</v>
      </c>
      <c r="W48" s="3434"/>
      <c r="X48" s="1545"/>
      <c r="Y48" s="1567"/>
      <c r="Z48" s="1545"/>
      <c r="AA48" s="1545"/>
      <c r="AB48" s="1545"/>
      <c r="AC48" s="1545"/>
    </row>
    <row r="49" spans="1:29" ht="21" thickBot="1">
      <c r="A49" s="615" t="s">
        <v>2691</v>
      </c>
      <c r="B49" s="616"/>
      <c r="C49" s="617">
        <f>R50</f>
        <v>1741</v>
      </c>
      <c r="D49" s="618"/>
      <c r="E49" s="617">
        <f>R49</f>
        <v>1865</v>
      </c>
      <c r="F49" s="619"/>
      <c r="G49" s="620">
        <f>T49</f>
        <v>1854</v>
      </c>
      <c r="H49" s="618"/>
      <c r="I49" s="617">
        <f>V49</f>
        <v>1504</v>
      </c>
      <c r="J49" s="618"/>
      <c r="K49" s="1337"/>
      <c r="L49" s="2128"/>
      <c r="M49" s="2116"/>
      <c r="N49" s="2116"/>
      <c r="O49" s="2129"/>
      <c r="P49" s="3433" t="str">
        <f>A49</f>
        <v>比较价格（元/平方米）</v>
      </c>
      <c r="Q49" s="3433"/>
      <c r="R49" s="3435">
        <f>ROUND(PRODUCT(R48,AA9:AA47),0)</f>
        <v>1865</v>
      </c>
      <c r="S49" s="3435"/>
      <c r="T49" s="3435">
        <f>ROUND(PRODUCT(T48,AB9:AB47),0)</f>
        <v>1854</v>
      </c>
      <c r="U49" s="3435"/>
      <c r="V49" s="3435">
        <f>ROUND(PRODUCT(V48,AC9:AC47),0)</f>
        <v>1504</v>
      </c>
      <c r="W49" s="3435"/>
      <c r="X49" s="1545"/>
      <c r="Y49" s="1545"/>
      <c r="Z49" s="1545"/>
      <c r="AA49" s="1545"/>
      <c r="AB49" s="1545"/>
      <c r="AC49" s="1545"/>
    </row>
    <row r="50" spans="1:29" ht="21" thickBot="1">
      <c r="A50" s="621" t="s">
        <v>2934</v>
      </c>
      <c r="B50" s="622"/>
      <c r="C50" s="623">
        <f>R50</f>
        <v>1741</v>
      </c>
      <c r="D50" s="623"/>
      <c r="E50" s="623"/>
      <c r="F50" s="623"/>
      <c r="G50" s="623"/>
      <c r="H50" s="623"/>
      <c r="I50" s="623"/>
      <c r="J50" s="623"/>
      <c r="K50" s="1338"/>
      <c r="L50" s="2128"/>
      <c r="M50" s="2116"/>
      <c r="N50" s="2116"/>
      <c r="O50" s="2129"/>
      <c r="P50" s="3430" t="str">
        <f>A50</f>
        <v>估价对象XX用房的比较价格（楼面单价，元/平方米）</v>
      </c>
      <c r="Q50" s="3431"/>
      <c r="R50" s="3432">
        <f>ROUND(AVERAGE(R49:V49),0)</f>
        <v>1741</v>
      </c>
      <c r="S50" s="3432"/>
      <c r="T50" s="3432"/>
      <c r="U50" s="3432"/>
      <c r="V50" s="3432"/>
      <c r="W50" s="3432"/>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0.15495978552278822</v>
      </c>
      <c r="F53" s="627" t="str">
        <f>IF(OR(E53&gt;=0.3,E53&lt;=-0.3),"超过30%","")</f>
        <v/>
      </c>
      <c r="G53" s="626">
        <f>IF(G48&lt;G49,G49/G48-1,G48/G49-1)</f>
        <v>0.20873786407766981</v>
      </c>
      <c r="H53" s="627" t="str">
        <f>IF(OR(G53&gt;=0.3,G53&lt;=-0.3),"超过30%","")</f>
        <v/>
      </c>
      <c r="I53" s="626">
        <f>IF(I48&lt;I49,I49/I48-1,I48/I49-1)</f>
        <v>0.2081117021276595</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5.9331175836030425E-3</v>
      </c>
      <c r="F54" s="627" t="str">
        <f>IF(OR(E54&gt;=0.2,E54&lt;=-0.2),"超过20%","")</f>
        <v/>
      </c>
      <c r="G54" s="626">
        <f>IF(G49&lt;I49,I49/G49-1,G49/I49-1)</f>
        <v>0.23271276595744683</v>
      </c>
      <c r="H54" s="627" t="str">
        <f>IF(OR(G54&gt;=0.2,G54&lt;=-0.2),"超过20%","")</f>
        <v>超过20%</v>
      </c>
      <c r="I54" s="626">
        <f>IF(I49&lt;E49,E49/I49-1,I49/E49-1)</f>
        <v>0.24002659574468077</v>
      </c>
      <c r="J54" s="627"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4.0389972144846853E-2</v>
      </c>
      <c r="F55" s="627" t="str">
        <f>IF(OR(E55&gt;=0.3,E55&lt;=-0.3),"超过30%","")</f>
        <v/>
      </c>
      <c r="G55" s="626">
        <f>IF(G48&lt;I48,I48/G48-1,G48/I48-1)</f>
        <v>0.2333516785910843</v>
      </c>
      <c r="H55" s="627" t="str">
        <f>IF(OR(G55&gt;=0.3,G55&lt;=-0.3),"超过30%","")</f>
        <v/>
      </c>
      <c r="I55" s="626">
        <f>IF(I48&lt;E48,E48/I48-1,I48/E48-1)</f>
        <v>0.18547055586130989</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1724</v>
      </c>
      <c r="D57" s="2211" t="s">
        <v>2293</v>
      </c>
      <c r="E57" s="631" t="s">
        <v>562</v>
      </c>
      <c r="F57" s="632" t="s">
        <v>563</v>
      </c>
      <c r="G57" s="3459" t="s">
        <v>2281</v>
      </c>
      <c r="H57" s="3460"/>
      <c r="I57" s="1541" t="s">
        <v>1722</v>
      </c>
      <c r="J57" s="1541"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1741</v>
      </c>
      <c r="C58" s="635">
        <v>1</v>
      </c>
      <c r="D58" s="2212">
        <v>1</v>
      </c>
      <c r="E58" s="635">
        <f>'数据-汇总表'!E8+'数据-汇总表'!E9</f>
        <v>311402</v>
      </c>
      <c r="F58" s="636">
        <f t="shared" ref="F58:F67" si="15">ROUND(B58*E58/10000,0)</f>
        <v>54215</v>
      </c>
      <c r="G58" s="3461"/>
      <c r="H58" s="346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63" t="s">
        <v>2282</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6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6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6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311402</v>
      </c>
      <c r="F68" s="644">
        <f>IF(B48="楼面地价",SUM(F58:F67),ROUND(C50*E68/10000,0))</f>
        <v>54215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北京市平均增长率2.26%</v>
      </c>
      <c r="C73" s="894">
        <v>100</v>
      </c>
      <c r="D73" s="3202">
        <f>C73-$C$74</f>
        <v>99</v>
      </c>
      <c r="E73" s="3202">
        <f t="shared" ref="E73:N73" si="20">D73-$C$74</f>
        <v>98</v>
      </c>
      <c r="F73" s="3202">
        <f t="shared" si="20"/>
        <v>97</v>
      </c>
      <c r="G73" s="3202">
        <f t="shared" si="20"/>
        <v>96</v>
      </c>
      <c r="H73" s="3202">
        <f t="shared" si="20"/>
        <v>95</v>
      </c>
      <c r="I73" s="3202">
        <f t="shared" si="20"/>
        <v>94</v>
      </c>
      <c r="J73" s="3202">
        <f t="shared" si="20"/>
        <v>93</v>
      </c>
      <c r="K73" s="3202">
        <f t="shared" si="20"/>
        <v>92</v>
      </c>
      <c r="L73" s="3202">
        <f t="shared" si="20"/>
        <v>91</v>
      </c>
      <c r="M73" s="3202">
        <f t="shared" si="20"/>
        <v>90</v>
      </c>
      <c r="N73" s="320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2645</v>
      </c>
      <c r="B74" s="2759"/>
      <c r="C74" s="2745">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42.75">
      <c r="A77" s="664" t="s">
        <v>577</v>
      </c>
      <c r="B77" s="665" t="s">
        <v>534</v>
      </c>
      <c r="C77" s="598" t="str">
        <f>项目基本情况!B13</f>
        <v>住宅、商业</v>
      </c>
      <c r="D77" s="598" t="str">
        <f>土地案例!D14</f>
        <v>中低价位、中小套型普通商品住房用地</v>
      </c>
      <c r="E77" s="598" t="str">
        <f>土地案例!D17</f>
        <v>商业、住宅用地</v>
      </c>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1.4（含）-1.5</v>
      </c>
      <c r="D81" s="682" t="str">
        <f t="shared" ref="D81:L81" si="21">D82&amp;"（含）"&amp;"-"&amp;E82</f>
        <v>1.5（含）-1.6</v>
      </c>
      <c r="E81" s="682" t="str">
        <f t="shared" si="21"/>
        <v>1.6（含）-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1.4</v>
      </c>
      <c r="D82" s="541">
        <v>1.5</v>
      </c>
      <c r="E82" s="541">
        <v>1.6</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50"/>
      <c r="O83" s="2150"/>
      <c r="P83" s="2149"/>
      <c r="Q83" s="2142"/>
      <c r="R83" s="2129"/>
      <c r="S83" s="2129"/>
      <c r="T83" s="2129"/>
      <c r="U83" s="2129"/>
      <c r="V83" s="2129"/>
      <c r="W83" s="2129"/>
      <c r="X83" s="2129"/>
      <c r="Y83" s="2129"/>
      <c r="Z83" s="2129"/>
      <c r="AA83" s="2129"/>
      <c r="AB83" s="2129"/>
      <c r="AC83" s="2129"/>
    </row>
    <row r="84" spans="1:29" s="1335" customFormat="1" ht="15.75" hidden="1"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hidden="1"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hidden="1"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hidden="1"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hidden="1"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hidden="1"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2547</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200" t="s">
        <v>3531</v>
      </c>
      <c r="D108" s="3200" t="s">
        <v>3532</v>
      </c>
      <c r="E108" s="3200" t="s">
        <v>3533</v>
      </c>
      <c r="F108" s="3200" t="s">
        <v>3534</v>
      </c>
      <c r="G108" s="3200" t="s">
        <v>3535</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hidden="1"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hidden="1"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1" t="s">
        <v>3537</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0" t="s">
        <v>3539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2424</v>
      </c>
      <c r="C125" s="1371" t="s">
        <v>3540</v>
      </c>
      <c r="D125" s="1371" t="s">
        <v>3541</v>
      </c>
      <c r="E125" s="1371" t="s">
        <v>3542</v>
      </c>
      <c r="F125" s="1371" t="s">
        <v>3543</v>
      </c>
      <c r="G125" s="1371" t="s">
        <v>3544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0" t="s">
        <v>3546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宗地面积</v>
      </c>
      <c r="C129" s="3200" t="s">
        <v>3554</v>
      </c>
      <c r="D129" s="3200" t="s">
        <v>3555</v>
      </c>
      <c r="E129" s="3200" t="s">
        <v>3556</v>
      </c>
      <c r="F129" s="688" t="s">
        <v>3557</v>
      </c>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f>C130-3</f>
        <v>97</v>
      </c>
      <c r="E130" s="692">
        <f t="shared" ref="E130:F130" si="31">D130-3</f>
        <v>94</v>
      </c>
      <c r="F130" s="692">
        <f t="shared" si="31"/>
        <v>91</v>
      </c>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7" sqref="J57"/>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521</v>
      </c>
      <c r="B6" s="513"/>
      <c r="C6" s="3439" t="s">
        <v>522</v>
      </c>
      <c r="D6" s="3440"/>
      <c r="E6" s="3473" t="s">
        <v>523</v>
      </c>
      <c r="F6" s="3474"/>
      <c r="G6" s="3439" t="s">
        <v>524</v>
      </c>
      <c r="H6" s="3440"/>
      <c r="I6" s="3439" t="s">
        <v>525</v>
      </c>
      <c r="J6" s="3440"/>
      <c r="K6" s="514" t="s">
        <v>526</v>
      </c>
      <c r="L6" s="2117"/>
      <c r="M6" s="2118"/>
      <c r="N6" s="2118"/>
      <c r="O6" s="2118"/>
      <c r="P6" s="3441" t="s">
        <v>527</v>
      </c>
      <c r="Q6" s="3442"/>
      <c r="R6" s="3447" t="s">
        <v>523</v>
      </c>
      <c r="S6" s="3448"/>
      <c r="T6" s="3447" t="s">
        <v>524</v>
      </c>
      <c r="U6" s="3448"/>
      <c r="V6" s="3434" t="s">
        <v>525</v>
      </c>
      <c r="W6" s="3434"/>
      <c r="X6" s="1553"/>
      <c r="Y6" s="3447" t="s">
        <v>527</v>
      </c>
      <c r="Z6" s="3448"/>
      <c r="AA6" s="3436" t="s">
        <v>523</v>
      </c>
      <c r="AB6" s="3437" t="s">
        <v>524</v>
      </c>
      <c r="AC6" s="3436" t="s">
        <v>525</v>
      </c>
    </row>
    <row r="7" spans="1:29" ht="15">
      <c r="A7" s="515"/>
      <c r="B7" s="516"/>
      <c r="C7" s="3455" t="s">
        <v>2928</v>
      </c>
      <c r="D7" s="3456"/>
      <c r="E7" s="3475" t="s">
        <v>2929</v>
      </c>
      <c r="F7" s="3476"/>
      <c r="G7" s="3455" t="s">
        <v>2930</v>
      </c>
      <c r="H7" s="3456"/>
      <c r="I7" s="3455" t="s">
        <v>2931</v>
      </c>
      <c r="J7" s="3456"/>
      <c r="K7" s="514"/>
      <c r="L7" s="2117"/>
      <c r="M7" s="2118"/>
      <c r="N7" s="2118"/>
      <c r="O7" s="2118"/>
      <c r="P7" s="3443"/>
      <c r="Q7" s="3444"/>
      <c r="R7" s="3449"/>
      <c r="S7" s="3450"/>
      <c r="T7" s="3449"/>
      <c r="U7" s="3450"/>
      <c r="V7" s="3434"/>
      <c r="W7" s="3434"/>
      <c r="X7" s="1553"/>
      <c r="Y7" s="3449"/>
      <c r="Z7" s="3450"/>
      <c r="AA7" s="3437"/>
      <c r="AB7" s="3437"/>
      <c r="AC7" s="3437"/>
    </row>
    <row r="8" spans="1:29" ht="15.75" thickBot="1">
      <c r="A8" s="517"/>
      <c r="B8" s="518"/>
      <c r="C8" s="3453" t="s">
        <v>2932</v>
      </c>
      <c r="D8" s="3454"/>
      <c r="E8" s="3471" t="s">
        <v>2932</v>
      </c>
      <c r="F8" s="3472"/>
      <c r="G8" s="3453" t="s">
        <v>2932</v>
      </c>
      <c r="H8" s="3454"/>
      <c r="I8" s="3453" t="s">
        <v>2932</v>
      </c>
      <c r="J8" s="3454"/>
      <c r="K8" s="514" t="s">
        <v>528</v>
      </c>
      <c r="L8" s="2117"/>
      <c r="M8" s="2118"/>
      <c r="N8" s="2118"/>
      <c r="O8" s="2118"/>
      <c r="P8" s="3445"/>
      <c r="Q8" s="3446"/>
      <c r="R8" s="3449"/>
      <c r="S8" s="3450"/>
      <c r="T8" s="3451"/>
      <c r="U8" s="3452"/>
      <c r="V8" s="3434"/>
      <c r="W8" s="3434"/>
      <c r="X8" s="1553"/>
      <c r="Y8" s="3451"/>
      <c r="Z8" s="3452"/>
      <c r="AA8" s="3438"/>
      <c r="AB8" s="3438"/>
      <c r="AC8" s="3438"/>
    </row>
    <row r="9" spans="1:29" s="1216" customFormat="1" ht="15.75" thickBot="1">
      <c r="A9" s="2866"/>
      <c r="B9" s="2873" t="s">
        <v>529</v>
      </c>
      <c r="C9" s="519">
        <f>'数据-取费表'!B2</f>
        <v>43565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64" t="s">
        <v>530</v>
      </c>
      <c r="Q9" s="3466"/>
      <c r="R9" s="1554" t="s">
        <v>8</v>
      </c>
      <c r="S9" s="1555">
        <f t="shared" ref="S9:S17" si="0">F9</f>
        <v>0</v>
      </c>
      <c r="T9" s="1554" t="s">
        <v>8</v>
      </c>
      <c r="U9" s="1555">
        <f t="shared" ref="U9:U17" si="1">H9</f>
        <v>0</v>
      </c>
      <c r="V9" s="1554" t="s">
        <v>8</v>
      </c>
      <c r="W9" s="1555">
        <f t="shared" ref="W9:W17" si="2">J9</f>
        <v>0</v>
      </c>
      <c r="X9" s="1556"/>
      <c r="Y9" s="3464" t="s">
        <v>530</v>
      </c>
      <c r="Z9" s="3465"/>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64" t="s">
        <v>533</v>
      </c>
      <c r="Q10" s="3465"/>
      <c r="R10" s="1554" t="s">
        <v>8</v>
      </c>
      <c r="S10" s="1555">
        <f t="shared" si="0"/>
        <v>0</v>
      </c>
      <c r="T10" s="1554" t="s">
        <v>8</v>
      </c>
      <c r="U10" s="1555">
        <f t="shared" si="1"/>
        <v>0</v>
      </c>
      <c r="V10" s="1554" t="s">
        <v>8</v>
      </c>
      <c r="W10" s="1555">
        <f t="shared" si="2"/>
        <v>0</v>
      </c>
      <c r="X10" s="1556"/>
      <c r="Y10" s="3464" t="s">
        <v>533</v>
      </c>
      <c r="Z10" s="3465"/>
      <c r="AA10" s="1557" t="e">
        <f t="shared" ref="AA10:AA42" si="3">D10/F10</f>
        <v>#DIV/0!</v>
      </c>
      <c r="AB10" s="1557" t="e">
        <f t="shared" ref="AB10:AB42" si="4">D10/H10</f>
        <v>#DIV/0!</v>
      </c>
      <c r="AC10" s="1557"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33" t="s">
        <v>535</v>
      </c>
      <c r="Q11" s="1147" t="str">
        <f t="shared" ref="Q11:Q17" si="6">B11</f>
        <v>用途</v>
      </c>
      <c r="R11" s="1554" t="s">
        <v>8</v>
      </c>
      <c r="S11" s="1555">
        <f t="shared" si="0"/>
        <v>100</v>
      </c>
      <c r="T11" s="1554" t="s">
        <v>8</v>
      </c>
      <c r="U11" s="1555">
        <f t="shared" si="1"/>
        <v>100</v>
      </c>
      <c r="V11" s="1554" t="s">
        <v>8</v>
      </c>
      <c r="W11" s="1555">
        <f t="shared" si="2"/>
        <v>100</v>
      </c>
      <c r="X11" s="1556"/>
      <c r="Y11" s="3379" t="s">
        <v>536</v>
      </c>
      <c r="Z11" s="1146" t="str">
        <f t="shared" ref="Z11:Z17" si="7">Q11</f>
        <v>用途</v>
      </c>
      <c r="AA11" s="1557">
        <f t="shared" si="3"/>
        <v>1</v>
      </c>
      <c r="AB11" s="1557">
        <f t="shared" si="4"/>
        <v>1</v>
      </c>
      <c r="AC11" s="1557">
        <f t="shared" si="5"/>
        <v>1</v>
      </c>
    </row>
    <row r="12" spans="1:29" s="1334" customFormat="1" ht="27">
      <c r="A12" s="2869"/>
      <c r="B12" s="2874" t="s">
        <v>2755</v>
      </c>
      <c r="C12" s="528"/>
      <c r="D12" s="255">
        <v>100</v>
      </c>
      <c r="E12" s="528"/>
      <c r="F12" s="255">
        <f>ROUND(100/'数据-取费表'!G16,0)</f>
        <v>105</v>
      </c>
      <c r="G12" s="528"/>
      <c r="H12" s="255">
        <f>ROUND(100/'数据-取费表'!G16,0)</f>
        <v>105</v>
      </c>
      <c r="I12" s="528"/>
      <c r="J12" s="255">
        <f>ROUND(100/'数据-取费表'!G16,0)</f>
        <v>105</v>
      </c>
      <c r="K12" s="531"/>
      <c r="L12" s="2122"/>
      <c r="M12" s="2162"/>
      <c r="N12" s="2162"/>
      <c r="O12" s="2123"/>
      <c r="P12" s="3433"/>
      <c r="Q12" s="1147" t="str">
        <f t="shared" si="6"/>
        <v>土地使用年限（年）</v>
      </c>
      <c r="R12" s="1554" t="s">
        <v>8</v>
      </c>
      <c r="S12" s="1555">
        <f t="shared" si="0"/>
        <v>105</v>
      </c>
      <c r="T12" s="1554" t="s">
        <v>8</v>
      </c>
      <c r="U12" s="1555">
        <f t="shared" si="1"/>
        <v>105</v>
      </c>
      <c r="V12" s="1554" t="s">
        <v>8</v>
      </c>
      <c r="W12" s="1555">
        <f t="shared" si="2"/>
        <v>105</v>
      </c>
      <c r="X12" s="1556"/>
      <c r="Y12" s="3379"/>
      <c r="Z12" s="1146" t="str">
        <f t="shared" si="7"/>
        <v>土地使用年限（年）</v>
      </c>
      <c r="AA12" s="1557">
        <f t="shared" si="3"/>
        <v>0.95238095238095233</v>
      </c>
      <c r="AB12" s="1557">
        <f t="shared" si="4"/>
        <v>0.95238095238095233</v>
      </c>
      <c r="AC12" s="1557">
        <f t="shared" si="5"/>
        <v>0.95238095238095233</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33"/>
      <c r="Q13" s="1147" t="str">
        <f t="shared" si="6"/>
        <v>容积率</v>
      </c>
      <c r="R13" s="1554" t="s">
        <v>8</v>
      </c>
      <c r="S13" s="1555" t="e">
        <f t="shared" si="0"/>
        <v>#N/A</v>
      </c>
      <c r="T13" s="1554" t="s">
        <v>8</v>
      </c>
      <c r="U13" s="1555" t="e">
        <f t="shared" si="1"/>
        <v>#N/A</v>
      </c>
      <c r="V13" s="1554" t="s">
        <v>8</v>
      </c>
      <c r="W13" s="1555" t="e">
        <f t="shared" si="2"/>
        <v>#N/A</v>
      </c>
      <c r="X13" s="1556"/>
      <c r="Y13" s="3379"/>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33"/>
      <c r="Q14" s="1147">
        <f t="shared" si="6"/>
        <v>111</v>
      </c>
      <c r="R14" s="1554" t="s">
        <v>8</v>
      </c>
      <c r="S14" s="1555">
        <f t="shared" si="0"/>
        <v>100</v>
      </c>
      <c r="T14" s="1554" t="s">
        <v>8</v>
      </c>
      <c r="U14" s="1555">
        <f t="shared" si="1"/>
        <v>100</v>
      </c>
      <c r="V14" s="1554" t="s">
        <v>8</v>
      </c>
      <c r="W14" s="1555">
        <f t="shared" si="2"/>
        <v>100</v>
      </c>
      <c r="X14" s="1556"/>
      <c r="Y14" s="3379"/>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33"/>
      <c r="Q15" s="1147">
        <f t="shared" si="6"/>
        <v>111</v>
      </c>
      <c r="R15" s="1554" t="s">
        <v>8</v>
      </c>
      <c r="S15" s="1555">
        <f t="shared" si="0"/>
        <v>100</v>
      </c>
      <c r="T15" s="1554" t="s">
        <v>8</v>
      </c>
      <c r="U15" s="1555">
        <f t="shared" si="1"/>
        <v>100</v>
      </c>
      <c r="V15" s="1554" t="s">
        <v>8</v>
      </c>
      <c r="W15" s="1555">
        <f t="shared" si="2"/>
        <v>100</v>
      </c>
      <c r="X15" s="1556"/>
      <c r="Y15" s="3379"/>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33"/>
      <c r="Q16" s="1147">
        <f t="shared" si="6"/>
        <v>111</v>
      </c>
      <c r="R16" s="1554" t="s">
        <v>8</v>
      </c>
      <c r="S16" s="1555">
        <f t="shared" si="0"/>
        <v>100</v>
      </c>
      <c r="T16" s="1554" t="s">
        <v>8</v>
      </c>
      <c r="U16" s="1555">
        <f t="shared" si="1"/>
        <v>100</v>
      </c>
      <c r="V16" s="1554" t="s">
        <v>8</v>
      </c>
      <c r="W16" s="1555">
        <f t="shared" si="2"/>
        <v>100</v>
      </c>
      <c r="X16" s="1556"/>
      <c r="Y16" s="3379"/>
      <c r="Z16" s="1146">
        <f t="shared" si="7"/>
        <v>111</v>
      </c>
      <c r="AA16" s="1557">
        <f t="shared" si="3"/>
        <v>1</v>
      </c>
      <c r="AB16" s="1557">
        <f t="shared" si="4"/>
        <v>1</v>
      </c>
      <c r="AC16" s="1557">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67" t="s">
        <v>540</v>
      </c>
      <c r="Q17" s="1558" t="str">
        <f t="shared" si="6"/>
        <v>产业集聚程度</v>
      </c>
      <c r="R17" s="1559" t="s">
        <v>8</v>
      </c>
      <c r="S17" s="1560">
        <f t="shared" si="0"/>
        <v>100</v>
      </c>
      <c r="T17" s="1559" t="s">
        <v>8</v>
      </c>
      <c r="U17" s="1560">
        <f t="shared" si="1"/>
        <v>100</v>
      </c>
      <c r="V17" s="1559" t="s">
        <v>8</v>
      </c>
      <c r="W17" s="1560">
        <f t="shared" si="2"/>
        <v>100</v>
      </c>
      <c r="X17" s="1553"/>
      <c r="Y17" s="346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68"/>
      <c r="Q18" s="1558"/>
      <c r="R18" s="1559"/>
      <c r="S18" s="1560"/>
      <c r="T18" s="1559"/>
      <c r="U18" s="1560"/>
      <c r="V18" s="1559"/>
      <c r="W18" s="1560"/>
      <c r="X18" s="1553"/>
      <c r="Y18" s="346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68"/>
      <c r="Q19" s="1558" t="str">
        <f>B19</f>
        <v>交通便捷度</v>
      </c>
      <c r="R19" s="1559" t="s">
        <v>8</v>
      </c>
      <c r="S19" s="1560">
        <f>F19</f>
        <v>100</v>
      </c>
      <c r="T19" s="1559" t="s">
        <v>8</v>
      </c>
      <c r="U19" s="1560">
        <f>H19</f>
        <v>100</v>
      </c>
      <c r="V19" s="1559" t="s">
        <v>8</v>
      </c>
      <c r="W19" s="1560">
        <f>J19</f>
        <v>100</v>
      </c>
      <c r="X19" s="1553"/>
      <c r="Y19" s="346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68"/>
      <c r="Q20" s="1558"/>
      <c r="R20" s="1559"/>
      <c r="S20" s="1560"/>
      <c r="T20" s="1559"/>
      <c r="U20" s="1560"/>
      <c r="V20" s="1559"/>
      <c r="W20" s="1560"/>
      <c r="X20" s="1553"/>
      <c r="Y20" s="346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68"/>
      <c r="Q21" s="1558" t="str">
        <f t="shared" ref="Q21:Q35" si="8">B21</f>
        <v>区域土地利用方向</v>
      </c>
      <c r="R21" s="1559" t="s">
        <v>8</v>
      </c>
      <c r="S21" s="1560">
        <f>F21</f>
        <v>100</v>
      </c>
      <c r="T21" s="1559" t="s">
        <v>8</v>
      </c>
      <c r="U21" s="1560">
        <f>H21</f>
        <v>100</v>
      </c>
      <c r="V21" s="1559" t="s">
        <v>8</v>
      </c>
      <c r="W21" s="1560">
        <f>J21</f>
        <v>100</v>
      </c>
      <c r="X21" s="1553"/>
      <c r="Y21" s="346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468"/>
      <c r="Q22" s="1558"/>
      <c r="R22" s="1559"/>
      <c r="S22" s="1560"/>
      <c r="T22" s="1559"/>
      <c r="U22" s="1560"/>
      <c r="V22" s="1559"/>
      <c r="W22" s="1560"/>
      <c r="X22" s="1553"/>
      <c r="Y22" s="3468"/>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68"/>
      <c r="Q23" s="1558" t="str">
        <f t="shared" si="8"/>
        <v>环境状况</v>
      </c>
      <c r="R23" s="1559" t="s">
        <v>8</v>
      </c>
      <c r="S23" s="1560">
        <f>F23</f>
        <v>100</v>
      </c>
      <c r="T23" s="1559" t="s">
        <v>8</v>
      </c>
      <c r="U23" s="1560">
        <f>H23</f>
        <v>100</v>
      </c>
      <c r="V23" s="1559" t="s">
        <v>8</v>
      </c>
      <c r="W23" s="1560">
        <f>J23</f>
        <v>100</v>
      </c>
      <c r="X23" s="1553"/>
      <c r="Y23" s="346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68"/>
      <c r="Q24" s="1558"/>
      <c r="R24" s="1559"/>
      <c r="S24" s="1560"/>
      <c r="T24" s="1559"/>
      <c r="U24" s="1560"/>
      <c r="V24" s="1559"/>
      <c r="W24" s="1560"/>
      <c r="X24" s="1553"/>
      <c r="Y24" s="3468"/>
      <c r="Z24" s="1561"/>
      <c r="AA24" s="1562">
        <v>1</v>
      </c>
      <c r="AB24" s="1562">
        <v>1</v>
      </c>
      <c r="AC24" s="1562">
        <v>1</v>
      </c>
    </row>
    <row r="25" spans="1:29" s="1216" customFormat="1" ht="42.75">
      <c r="A25" s="577"/>
      <c r="B25" s="2556"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68"/>
      <c r="Q25" s="1147" t="str">
        <f t="shared" si="8"/>
        <v>公共配套设施</v>
      </c>
      <c r="R25" s="1554" t="s">
        <v>8</v>
      </c>
      <c r="S25" s="1555">
        <f>F25</f>
        <v>100</v>
      </c>
      <c r="T25" s="1554" t="s">
        <v>8</v>
      </c>
      <c r="U25" s="1555">
        <f>H25</f>
        <v>100</v>
      </c>
      <c r="V25" s="1554" t="s">
        <v>8</v>
      </c>
      <c r="W25" s="1555">
        <f>J25</f>
        <v>100</v>
      </c>
      <c r="X25" s="1556"/>
      <c r="Y25" s="3468"/>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468"/>
      <c r="Q26" s="1147"/>
      <c r="R26" s="1554"/>
      <c r="S26" s="1555"/>
      <c r="T26" s="1554"/>
      <c r="U26" s="1555"/>
      <c r="V26" s="1554"/>
      <c r="W26" s="1555"/>
      <c r="X26" s="1556"/>
      <c r="Y26" s="3468"/>
      <c r="Z26" s="1146"/>
      <c r="AA26" s="1557">
        <v>1</v>
      </c>
      <c r="AB26" s="1557">
        <v>1</v>
      </c>
      <c r="AC26" s="1557">
        <v>1</v>
      </c>
    </row>
    <row r="27" spans="1:29" s="1216" customFormat="1" ht="28.5">
      <c r="A27" s="577"/>
      <c r="B27" s="2556"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68"/>
      <c r="Q27" s="2541" t="str">
        <f t="shared" ref="Q27" si="9">B27</f>
        <v>基础设施水平</v>
      </c>
      <c r="R27" s="1554" t="s">
        <v>8</v>
      </c>
      <c r="S27" s="1555">
        <f>F27</f>
        <v>100</v>
      </c>
      <c r="T27" s="1554" t="s">
        <v>8</v>
      </c>
      <c r="U27" s="1555">
        <f>H27</f>
        <v>100</v>
      </c>
      <c r="V27" s="1554" t="s">
        <v>8</v>
      </c>
      <c r="W27" s="1555">
        <f>J27</f>
        <v>100</v>
      </c>
      <c r="X27" s="1556"/>
      <c r="Y27" s="3468"/>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468"/>
      <c r="Q28" s="2541"/>
      <c r="R28" s="1554"/>
      <c r="S28" s="1555"/>
      <c r="T28" s="1554"/>
      <c r="U28" s="1555"/>
      <c r="V28" s="1554"/>
      <c r="W28" s="1555"/>
      <c r="X28" s="1556"/>
      <c r="Y28" s="3468"/>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6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68"/>
      <c r="Z29" s="1561" t="str">
        <f t="shared" ref="Z29:Z42" si="13">Q29</f>
        <v>临街状况</v>
      </c>
      <c r="AA29" s="1562">
        <f t="shared" si="3"/>
        <v>1</v>
      </c>
      <c r="AB29" s="1562">
        <f t="shared" si="4"/>
        <v>1</v>
      </c>
      <c r="AC29" s="1562">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68"/>
      <c r="Q30" s="1558" t="str">
        <f t="shared" si="8"/>
        <v>毗邻道路的类型与等级</v>
      </c>
      <c r="R30" s="1559" t="s">
        <v>8</v>
      </c>
      <c r="S30" s="1560">
        <f t="shared" si="10"/>
        <v>100</v>
      </c>
      <c r="T30" s="1559" t="s">
        <v>8</v>
      </c>
      <c r="U30" s="1560">
        <f t="shared" si="11"/>
        <v>100</v>
      </c>
      <c r="V30" s="1559" t="s">
        <v>8</v>
      </c>
      <c r="W30" s="1560">
        <f t="shared" si="12"/>
        <v>100</v>
      </c>
      <c r="X30" s="1553"/>
      <c r="Y30" s="346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68"/>
      <c r="Q31" s="1558"/>
      <c r="R31" s="1559"/>
      <c r="S31" s="1560"/>
      <c r="T31" s="1559"/>
      <c r="U31" s="1560"/>
      <c r="V31" s="1559"/>
      <c r="W31" s="1560"/>
      <c r="X31" s="1553"/>
      <c r="Y31" s="3468"/>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68"/>
      <c r="Q32" s="1558" t="str">
        <f t="shared" si="8"/>
        <v>土地级别</v>
      </c>
      <c r="R32" s="1559" t="s">
        <v>8</v>
      </c>
      <c r="S32" s="1560">
        <f t="shared" si="10"/>
        <v>100</v>
      </c>
      <c r="T32" s="1559" t="s">
        <v>8</v>
      </c>
      <c r="U32" s="1560">
        <f t="shared" si="11"/>
        <v>100</v>
      </c>
      <c r="V32" s="1559" t="s">
        <v>8</v>
      </c>
      <c r="W32" s="1560">
        <f t="shared" si="12"/>
        <v>100</v>
      </c>
      <c r="X32" s="1553"/>
      <c r="Y32" s="346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68"/>
      <c r="Q33" s="1558">
        <f t="shared" si="8"/>
        <v>111</v>
      </c>
      <c r="R33" s="1559" t="s">
        <v>8</v>
      </c>
      <c r="S33" s="1560">
        <f t="shared" si="10"/>
        <v>100</v>
      </c>
      <c r="T33" s="1559" t="s">
        <v>8</v>
      </c>
      <c r="U33" s="1560">
        <f t="shared" si="11"/>
        <v>100</v>
      </c>
      <c r="V33" s="1559" t="s">
        <v>8</v>
      </c>
      <c r="W33" s="1560">
        <f t="shared" si="12"/>
        <v>100</v>
      </c>
      <c r="X33" s="1553"/>
      <c r="Y33" s="346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9" t="s">
        <v>550</v>
      </c>
      <c r="Q34" s="1558">
        <f t="shared" si="8"/>
        <v>111</v>
      </c>
      <c r="R34" s="1559" t="s">
        <v>8</v>
      </c>
      <c r="S34" s="1560">
        <f t="shared" si="10"/>
        <v>100</v>
      </c>
      <c r="T34" s="1559" t="s">
        <v>8</v>
      </c>
      <c r="U34" s="1560">
        <f t="shared" si="11"/>
        <v>100</v>
      </c>
      <c r="V34" s="1559" t="s">
        <v>8</v>
      </c>
      <c r="W34" s="1560">
        <f t="shared" si="12"/>
        <v>100</v>
      </c>
      <c r="X34" s="1553"/>
      <c r="Y34" s="3470" t="s">
        <v>550</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70"/>
      <c r="Q35" s="1558">
        <f t="shared" si="8"/>
        <v>111</v>
      </c>
      <c r="R35" s="1563" t="s">
        <v>8</v>
      </c>
      <c r="S35" s="1564">
        <f t="shared" si="10"/>
        <v>100</v>
      </c>
      <c r="T35" s="1563" t="s">
        <v>8</v>
      </c>
      <c r="U35" s="1564">
        <f t="shared" si="11"/>
        <v>100</v>
      </c>
      <c r="V35" s="1563" t="s">
        <v>8</v>
      </c>
      <c r="W35" s="1564">
        <f t="shared" si="12"/>
        <v>100</v>
      </c>
      <c r="X35" s="1565"/>
      <c r="Y35" s="3470"/>
      <c r="Z35" s="1566">
        <f t="shared" si="13"/>
        <v>111</v>
      </c>
      <c r="AA35" s="1562">
        <f t="shared" si="3"/>
        <v>1</v>
      </c>
      <c r="AB35" s="1562">
        <f t="shared" si="4"/>
        <v>1</v>
      </c>
      <c r="AC35" s="1562">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70"/>
      <c r="Q36" s="1558" t="str">
        <f>B36</f>
        <v>宗地面积</v>
      </c>
      <c r="R36" s="1559" t="s">
        <v>8</v>
      </c>
      <c r="S36" s="1560" t="e">
        <f t="shared" si="10"/>
        <v>#N/A</v>
      </c>
      <c r="T36" s="1559" t="s">
        <v>8</v>
      </c>
      <c r="U36" s="1560" t="e">
        <f t="shared" si="11"/>
        <v>#N/A</v>
      </c>
      <c r="V36" s="1559" t="s">
        <v>8</v>
      </c>
      <c r="W36" s="1560" t="e">
        <f t="shared" si="12"/>
        <v>#N/A</v>
      </c>
      <c r="X36" s="1553"/>
      <c r="Y36" s="347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70"/>
      <c r="Q37" s="1558" t="str">
        <f t="shared" ref="Q37:Q42" si="14">B37</f>
        <v>宗地形状</v>
      </c>
      <c r="R37" s="1559" t="s">
        <v>8</v>
      </c>
      <c r="S37" s="1560">
        <f t="shared" si="10"/>
        <v>100</v>
      </c>
      <c r="T37" s="1559" t="s">
        <v>8</v>
      </c>
      <c r="U37" s="1560">
        <f t="shared" si="11"/>
        <v>100</v>
      </c>
      <c r="V37" s="1559" t="s">
        <v>8</v>
      </c>
      <c r="W37" s="1560">
        <f t="shared" si="12"/>
        <v>100</v>
      </c>
      <c r="X37" s="1553"/>
      <c r="Y37" s="3470"/>
      <c r="Z37" s="1561" t="str">
        <f t="shared" si="13"/>
        <v>宗地形状</v>
      </c>
      <c r="AA37" s="1562">
        <f t="shared" si="3"/>
        <v>1</v>
      </c>
      <c r="AB37" s="1562">
        <f t="shared" si="4"/>
        <v>1</v>
      </c>
      <c r="AC37" s="1562">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70"/>
      <c r="Q38" s="1558" t="str">
        <f t="shared" si="14"/>
        <v>宗地开发程度</v>
      </c>
      <c r="R38" s="1554" t="s">
        <v>8</v>
      </c>
      <c r="S38" s="1555">
        <f t="shared" si="10"/>
        <v>100</v>
      </c>
      <c r="T38" s="1554" t="s">
        <v>8</v>
      </c>
      <c r="U38" s="1555">
        <f t="shared" si="11"/>
        <v>100</v>
      </c>
      <c r="V38" s="1554" t="s">
        <v>8</v>
      </c>
      <c r="W38" s="1555">
        <f t="shared" si="12"/>
        <v>100</v>
      </c>
      <c r="X38" s="1556"/>
      <c r="Y38" s="3470"/>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0" t="s">
        <v>601</v>
      </c>
      <c r="Q39" s="1558" t="str">
        <f t="shared" si="14"/>
        <v>工程地质条件</v>
      </c>
      <c r="R39" s="1559" t="s">
        <v>8</v>
      </c>
      <c r="S39" s="1560">
        <f t="shared" si="10"/>
        <v>100</v>
      </c>
      <c r="T39" s="1559" t="s">
        <v>8</v>
      </c>
      <c r="U39" s="1560">
        <f t="shared" si="11"/>
        <v>100</v>
      </c>
      <c r="V39" s="1559" t="s">
        <v>8</v>
      </c>
      <c r="W39" s="1560">
        <f t="shared" si="12"/>
        <v>100</v>
      </c>
      <c r="X39" s="1553"/>
      <c r="Y39" s="347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70"/>
      <c r="Q40" s="1558">
        <f t="shared" si="14"/>
        <v>111</v>
      </c>
      <c r="R40" s="1559" t="s">
        <v>8</v>
      </c>
      <c r="S40" s="1560">
        <f t="shared" si="10"/>
        <v>100</v>
      </c>
      <c r="T40" s="1559" t="s">
        <v>8</v>
      </c>
      <c r="U40" s="1560">
        <f t="shared" si="11"/>
        <v>100</v>
      </c>
      <c r="V40" s="1559" t="s">
        <v>8</v>
      </c>
      <c r="W40" s="1560">
        <f t="shared" si="12"/>
        <v>100</v>
      </c>
      <c r="X40" s="1553"/>
      <c r="Y40" s="347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70"/>
      <c r="Q41" s="1558">
        <f t="shared" si="14"/>
        <v>111</v>
      </c>
      <c r="R41" s="1559" t="s">
        <v>8</v>
      </c>
      <c r="S41" s="1560">
        <f t="shared" si="10"/>
        <v>100</v>
      </c>
      <c r="T41" s="1559" t="s">
        <v>8</v>
      </c>
      <c r="U41" s="1560">
        <f t="shared" si="11"/>
        <v>100</v>
      </c>
      <c r="V41" s="1559" t="s">
        <v>8</v>
      </c>
      <c r="W41" s="1560">
        <f t="shared" si="12"/>
        <v>100</v>
      </c>
      <c r="X41" s="1553"/>
      <c r="Y41" s="347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70"/>
      <c r="Q42" s="1558">
        <f t="shared" si="14"/>
        <v>111</v>
      </c>
      <c r="R42" s="1563" t="s">
        <v>8</v>
      </c>
      <c r="S42" s="1564">
        <f t="shared" si="10"/>
        <v>100</v>
      </c>
      <c r="T42" s="1563" t="s">
        <v>8</v>
      </c>
      <c r="U42" s="1564">
        <f t="shared" si="11"/>
        <v>100</v>
      </c>
      <c r="V42" s="1563" t="s">
        <v>8</v>
      </c>
      <c r="W42" s="1564">
        <f t="shared" si="12"/>
        <v>100</v>
      </c>
      <c r="X42" s="1565"/>
      <c r="Y42" s="3470"/>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8"/>
      <c r="M43" s="2118"/>
      <c r="N43" s="2118"/>
      <c r="O43" s="2129"/>
      <c r="P43" s="3433" t="str">
        <f>A43</f>
        <v>成交单价</v>
      </c>
      <c r="Q43" s="3433"/>
      <c r="R43" s="3434">
        <f>E43</f>
        <v>0</v>
      </c>
      <c r="S43" s="3434"/>
      <c r="T43" s="3434">
        <f>G43</f>
        <v>0</v>
      </c>
      <c r="U43" s="3434"/>
      <c r="V43" s="3434">
        <f>I43</f>
        <v>0</v>
      </c>
      <c r="W43" s="3434"/>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7"/>
      <c r="L44" s="2128"/>
      <c r="M44" s="2118"/>
      <c r="N44" s="2118"/>
      <c r="O44" s="2129"/>
      <c r="P44" s="3433" t="str">
        <f>A44</f>
        <v>比较价格（元/平方米）</v>
      </c>
      <c r="Q44" s="3433"/>
      <c r="R44" s="3435" t="e">
        <f>ROUND(PRODUCT(R43,AA9:AA42),0)</f>
        <v>#DIV/0!</v>
      </c>
      <c r="S44" s="3435"/>
      <c r="T44" s="3435" t="e">
        <f>ROUND(PRODUCT(T43,AB9:AB42),0)</f>
        <v>#DIV/0!</v>
      </c>
      <c r="U44" s="3435"/>
      <c r="V44" s="3435" t="e">
        <f>ROUND(PRODUCT(V43,AC9:AC42),0)</f>
        <v>#DIV/0!</v>
      </c>
      <c r="W44" s="3435"/>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8"/>
      <c r="M45" s="2118"/>
      <c r="N45" s="2118"/>
      <c r="O45" s="2129"/>
      <c r="P45" s="3430" t="str">
        <f>A45</f>
        <v>估价对象XX用房的比较价格（楼面单价，元/平方米）</v>
      </c>
      <c r="Q45" s="3431"/>
      <c r="R45" s="3432" t="e">
        <f>ROUND(AVERAGE(R44:V44),0)</f>
        <v>#DIV/0!</v>
      </c>
      <c r="S45" s="3432"/>
      <c r="T45" s="3432"/>
      <c r="U45" s="3432"/>
      <c r="V45" s="3432"/>
      <c r="W45" s="343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6" t="s">
        <v>1724</v>
      </c>
      <c r="D52" s="2211" t="s">
        <v>2293</v>
      </c>
      <c r="E52" s="631" t="s">
        <v>562</v>
      </c>
      <c r="F52" s="1935" t="s">
        <v>563</v>
      </c>
      <c r="G52" s="3477" t="s">
        <v>2284</v>
      </c>
      <c r="H52" s="3478"/>
      <c r="I52" s="1936" t="s">
        <v>1945</v>
      </c>
      <c r="J52" s="1541"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311402</v>
      </c>
      <c r="F53" s="1934" t="e">
        <f t="shared" ref="F53:F62" si="15">ROUND(B53*E53/10000,0)</f>
        <v>#DIV/0!</v>
      </c>
      <c r="G53" s="3479"/>
      <c r="H53" s="3480"/>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81" t="s">
        <v>2285</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81"/>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81"/>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81"/>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259503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2547</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2549</v>
      </c>
      <c r="C95" s="2561" t="s">
        <v>2550</v>
      </c>
      <c r="D95" s="2561" t="s">
        <v>2551</v>
      </c>
      <c r="E95" s="2561" t="s">
        <v>2552</v>
      </c>
      <c r="F95" s="2561" t="s">
        <v>2553</v>
      </c>
      <c r="G95" s="2561" t="s">
        <v>2554</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2424</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7" sqref="J57"/>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6" t="s">
        <v>2238</v>
      </c>
      <c r="M1" s="1867">
        <f>SUMPRODUCT((区片价!B5:B9=I2)*(区片价!C3:F3=E2)*(区片价!C5:F9))</f>
        <v>0</v>
      </c>
      <c r="N1" s="1868">
        <f>SUMPRODUCT((因素修正幅度!B5:B9=I2)*(因素修正幅度!C3:F3=E2)*(因素修正幅度!C5:F9))</f>
        <v>0</v>
      </c>
      <c r="O1" s="1397"/>
      <c r="P1" s="1397"/>
      <c r="Q1" s="2173"/>
      <c r="R1" s="2890" t="s">
        <v>2760</v>
      </c>
      <c r="S1" s="2890" t="s">
        <v>2761</v>
      </c>
      <c r="T1" s="2890" t="s">
        <v>2782</v>
      </c>
      <c r="U1" s="2890" t="s">
        <v>2783</v>
      </c>
      <c r="V1" s="2890" t="s">
        <v>2784</v>
      </c>
      <c r="W1" s="2173"/>
      <c r="X1" s="2173"/>
      <c r="Y1" s="2173"/>
      <c r="Z1" s="2173"/>
      <c r="AA1" s="2173"/>
      <c r="AB1" s="2173"/>
      <c r="AC1" s="2174"/>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2239</v>
      </c>
      <c r="M2" s="1870">
        <f>SUMPRODUCT((区片价!B10:B28=I2)*(区片价!C3:F3=E2)*(区片价!C10:F28))</f>
        <v>0</v>
      </c>
      <c r="N2" s="1871">
        <f>SUMPRODUCT((因素修正幅度!B10:B28=I2)*(因素修正幅度!C3:F3=E2)*(因素修正幅度!C10:F28))</f>
        <v>0</v>
      </c>
      <c r="O2" s="1406"/>
      <c r="P2" s="1397"/>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7" t="s">
        <v>1687</v>
      </c>
      <c r="B3" s="1038" t="e">
        <f>ROUND(B2*10000/D1,0)</f>
        <v>#DIV/0!</v>
      </c>
      <c r="C3" s="1403" t="s">
        <v>927</v>
      </c>
      <c r="D3" s="1404" t="s">
        <v>928</v>
      </c>
      <c r="E3" s="1408"/>
      <c r="F3" s="1409"/>
      <c r="G3" s="1039">
        <f>IF(F3="宗地容积率",'数据-汇总表'!I4,IF(F3="估价对象容积率",'数据-汇总表'!I6,'数据-汇总表'!I7))</f>
        <v>1.44</v>
      </c>
      <c r="H3" s="1410" t="s">
        <v>929</v>
      </c>
      <c r="I3" s="1040">
        <v>8</v>
      </c>
      <c r="J3" s="1406" t="s">
        <v>930</v>
      </c>
      <c r="K3" s="1406"/>
      <c r="L3" s="1869" t="s">
        <v>2240</v>
      </c>
      <c r="M3" s="1870">
        <f>SUMPRODUCT((区片价!B29:B48=I2)*(区片价!C3:F3=E2)*(区片价!C29:F48))</f>
        <v>0</v>
      </c>
      <c r="N3" s="1871">
        <f>SUMPRODUCT((因素修正幅度!B29:B48=I2)*(因素修正幅度!C3:F3=E2)*(因素修正幅度!C29:F48))</f>
        <v>0</v>
      </c>
      <c r="O3" s="1406"/>
      <c r="P3" s="1397"/>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52"/>
      <c r="L4" s="1869" t="s">
        <v>2241</v>
      </c>
      <c r="M4" s="1870">
        <f>SUMPRODUCT((区片价!B49:B75=I2)*(区片价!C3:F3=E2)*(区片价!C49:F75))</f>
        <v>0</v>
      </c>
      <c r="N4" s="1871">
        <f>SUMPRODUCT((因素修正幅度!B49:B75=I2)*(因素修正幅度!C3:F3=E2)*(因素修正幅度!C49:F75))</f>
        <v>0</v>
      </c>
      <c r="O4" s="3152"/>
      <c r="P4" s="1397"/>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53"/>
      <c r="L5" s="1869" t="s">
        <v>2242</v>
      </c>
      <c r="M5" s="1870">
        <f>SUMPRODUCT((区片价!B76:B109=I2)*(区片价!C3:F3=E2)*(区片价!C76:F109))</f>
        <v>0</v>
      </c>
      <c r="N5" s="1871">
        <f>SUMPRODUCT((因素修正幅度!B76:B109=I2)*(因素修正幅度!C3:F3=E2)*(因素修正幅度!C76:F109))</f>
        <v>0</v>
      </c>
      <c r="O5" s="3153"/>
      <c r="P5" s="1580"/>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69" t="s">
        <v>2243</v>
      </c>
      <c r="M6" s="1870">
        <f>SUMPRODUCT((区片价!B110:B157=I2)*(区片价!C3:F3=E2)*(区片价!C110:F157))</f>
        <v>0</v>
      </c>
      <c r="N6" s="1871">
        <f>SUMPRODUCT((因素修正幅度!B110:B157=I2)*(因素修正幅度!C3:F3=E2)*(因素修正幅度!C110:F157))</f>
        <v>0</v>
      </c>
      <c r="O6" s="1452"/>
      <c r="P6" s="1581"/>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93" t="str">
        <f>IF(E2="商业",IF(C8="不临58条商业街","",2),"")</f>
        <v/>
      </c>
      <c r="B7" s="1423" t="s">
        <v>932</v>
      </c>
      <c r="C7" s="1043" t="e">
        <f>IF(C8="不临58条商业街",1,ROUND(1+(1.6*E8+1.2*E9+0.8*E10+0.4*E11)*C9,4))</f>
        <v>#DIV/0!</v>
      </c>
      <c r="D7" s="1424" t="s">
        <v>933</v>
      </c>
      <c r="E7" s="1044"/>
      <c r="F7" s="1425"/>
      <c r="G7" s="1426"/>
      <c r="H7" s="1426"/>
      <c r="I7" s="1426"/>
      <c r="J7" s="1427"/>
      <c r="K7" s="1452"/>
      <c r="L7" s="1869" t="s">
        <v>2244</v>
      </c>
      <c r="M7" s="1870">
        <f>SUMPRODUCT((区片价!B158:B205=I2)*(区片价!C3:F3=E2)*(区片价!C158:F205))</f>
        <v>0</v>
      </c>
      <c r="N7" s="1871">
        <f>SUMPRODUCT((因素修正幅度!B158:B205=I2)*(因素修正幅度!C3:F3=E2)*(因素修正幅度!C158:F205))</f>
        <v>0</v>
      </c>
      <c r="O7" s="1452"/>
      <c r="P7" s="1581"/>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2763</v>
      </c>
      <c r="X7" s="2881">
        <f>G2</f>
        <v>0</v>
      </c>
      <c r="Y7" s="2881" t="s">
        <v>2764</v>
      </c>
      <c r="Z7" s="2882">
        <f>G3</f>
        <v>1.44</v>
      </c>
      <c r="AA7" s="2176"/>
      <c r="AB7" s="2176"/>
      <c r="AC7" s="2177"/>
      <c r="AD7" s="2883"/>
      <c r="AE7" s="2883"/>
      <c r="AF7" s="2883"/>
      <c r="AG7" s="2883"/>
      <c r="AH7" s="2883"/>
      <c r="AI7" s="2883"/>
      <c r="AJ7" s="2884"/>
    </row>
    <row r="8" spans="1:39" ht="15">
      <c r="A8" s="3494"/>
      <c r="B8" s="1410" t="s">
        <v>934</v>
      </c>
      <c r="C8" s="1516"/>
      <c r="D8" s="1045" t="s">
        <v>935</v>
      </c>
      <c r="E8" s="1046" t="e">
        <f>ROUND(C11/E7,4)</f>
        <v>#DIV/0!</v>
      </c>
      <c r="F8" s="1428" t="s">
        <v>936</v>
      </c>
      <c r="G8" s="1429"/>
      <c r="H8" s="1429"/>
      <c r="I8" s="1429"/>
      <c r="J8" s="1430"/>
      <c r="K8" s="1452"/>
      <c r="L8" s="1869" t="s">
        <v>2245</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83" t="s">
        <v>2781</v>
      </c>
      <c r="X8" s="3484"/>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94"/>
      <c r="B9" s="1410" t="s">
        <v>937</v>
      </c>
      <c r="C9" s="1047">
        <f>SUMIF(修正!C59:C119,C8,修正!E59:E119)</f>
        <v>0</v>
      </c>
      <c r="D9" s="1048" t="s">
        <v>938</v>
      </c>
      <c r="E9" s="1048" t="e">
        <f>ROUND(C11/E7,4)</f>
        <v>#DIV/0!</v>
      </c>
      <c r="F9" s="1428" t="s">
        <v>939</v>
      </c>
      <c r="G9" s="1429"/>
      <c r="H9" s="1429"/>
      <c r="I9" s="1429"/>
      <c r="J9" s="1430"/>
      <c r="K9" s="1452"/>
      <c r="L9" s="1869" t="s">
        <v>2246</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82"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94"/>
      <c r="B10" s="1410" t="s">
        <v>940</v>
      </c>
      <c r="C10" s="1048">
        <f>SUMIF(修正!C59:C119,C8,修正!F59:F119)</f>
        <v>0</v>
      </c>
      <c r="D10" s="1048" t="s">
        <v>941</v>
      </c>
      <c r="E10" s="1048" t="e">
        <f>ROUND(C11/E7,4)</f>
        <v>#DIV/0!</v>
      </c>
      <c r="F10" s="1428" t="s">
        <v>942</v>
      </c>
      <c r="G10" s="1429"/>
      <c r="H10" s="1429"/>
      <c r="I10" s="1429"/>
      <c r="J10" s="1430"/>
      <c r="K10" s="1452"/>
      <c r="L10" s="1869" t="s">
        <v>2247</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8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94"/>
      <c r="B11" s="1431" t="s">
        <v>943</v>
      </c>
      <c r="C11" s="1049">
        <f>C10/4</f>
        <v>0</v>
      </c>
      <c r="D11" s="1049" t="s">
        <v>944</v>
      </c>
      <c r="E11" s="1049" t="e">
        <f>ROUND(C11/E7,4)</f>
        <v>#DIV/0!</v>
      </c>
      <c r="F11" s="1432" t="s">
        <v>945</v>
      </c>
      <c r="G11" s="1433"/>
      <c r="H11" s="1433"/>
      <c r="I11" s="1433"/>
      <c r="J11" s="1434"/>
      <c r="K11" s="1452"/>
      <c r="L11" s="1869" t="s">
        <v>2248</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82" t="s">
        <v>2779</v>
      </c>
      <c r="X11" s="1048" t="s">
        <v>2764</v>
      </c>
      <c r="Y11" s="1638">
        <f>$G$3</f>
        <v>1.44</v>
      </c>
      <c r="Z11" s="1638">
        <f t="shared" ref="Z11:AJ11" si="3">$G$3</f>
        <v>1.44</v>
      </c>
      <c r="AA11" s="1638">
        <f t="shared" si="3"/>
        <v>1.44</v>
      </c>
      <c r="AB11" s="1638">
        <f t="shared" si="3"/>
        <v>1.44</v>
      </c>
      <c r="AC11" s="1638">
        <f t="shared" si="3"/>
        <v>1.44</v>
      </c>
      <c r="AD11" s="1638">
        <f t="shared" si="3"/>
        <v>1.44</v>
      </c>
      <c r="AE11" s="1638">
        <f t="shared" si="3"/>
        <v>1.44</v>
      </c>
      <c r="AF11" s="1638">
        <f t="shared" si="3"/>
        <v>1.44</v>
      </c>
      <c r="AG11" s="1638">
        <f t="shared" si="3"/>
        <v>1.44</v>
      </c>
      <c r="AH11" s="1638">
        <f t="shared" si="3"/>
        <v>1.44</v>
      </c>
      <c r="AI11" s="1638">
        <f t="shared" si="3"/>
        <v>1.44</v>
      </c>
      <c r="AJ11" s="1638">
        <f t="shared" si="3"/>
        <v>1.44</v>
      </c>
    </row>
    <row r="12" spans="1:39" ht="25.5" thickBot="1">
      <c r="A12" s="3493" t="s">
        <v>1871</v>
      </c>
      <c r="B12" s="1435" t="s">
        <v>946</v>
      </c>
      <c r="C12" s="1043">
        <f>ROUND(C15*D15*E15*F15*G15*H15*I15*J15,4)</f>
        <v>1</v>
      </c>
      <c r="D12" s="1436" t="s">
        <v>947</v>
      </c>
      <c r="E12" s="1437"/>
      <c r="F12" s="1437"/>
      <c r="G12" s="1438"/>
      <c r="H12" s="1438"/>
      <c r="I12" s="1438"/>
      <c r="J12" s="1439"/>
      <c r="K12" s="1452"/>
      <c r="L12" s="1872" t="s">
        <v>2249</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82"/>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95"/>
      <c r="B13" s="1440" t="s">
        <v>1696</v>
      </c>
      <c r="C13" s="1441" t="s">
        <v>1697</v>
      </c>
      <c r="D13" s="1085" t="s">
        <v>1698</v>
      </c>
      <c r="E13" s="1085" t="s">
        <v>1699</v>
      </c>
      <c r="F13" s="1442" t="s">
        <v>948</v>
      </c>
      <c r="G13" s="1443" t="s">
        <v>1642</v>
      </c>
      <c r="H13" s="1444" t="s">
        <v>1642</v>
      </c>
      <c r="I13" s="1445" t="s">
        <v>1642</v>
      </c>
      <c r="J13" s="1446" t="s">
        <v>1642</v>
      </c>
      <c r="K13" s="3168"/>
      <c r="L13" s="3168"/>
      <c r="M13" s="3168"/>
      <c r="N13" s="3168"/>
      <c r="O13" s="3168"/>
      <c r="P13" s="1397"/>
      <c r="Q13" s="2173"/>
      <c r="R13" s="2891">
        <v>12</v>
      </c>
      <c r="S13" s="2880"/>
      <c r="T13" s="2891" t="e">
        <f t="shared" si="0"/>
        <v>#DIV/0!</v>
      </c>
      <c r="U13" s="2880"/>
      <c r="V13" s="2891" t="e">
        <f t="shared" si="1"/>
        <v>#DIV/0!</v>
      </c>
      <c r="W13" s="3482"/>
      <c r="X13" s="2888"/>
      <c r="Y13" s="2887">
        <f>(-0.163*(Y12^2)-0.59*Y12+7617)*(10^(-4))/Y11</f>
        <v>0.52895833333333342</v>
      </c>
      <c r="Z13" s="2887">
        <f t="shared" ref="Z13:AJ13" si="5">(-0.163*(Z12^2)-0.59*Z12+7617)*(10^(-4))/Z11</f>
        <v>0.52895833333333342</v>
      </c>
      <c r="AA13" s="2887">
        <f t="shared" si="5"/>
        <v>0.52895833333333342</v>
      </c>
      <c r="AB13" s="2887">
        <f t="shared" si="5"/>
        <v>0.52895833333333342</v>
      </c>
      <c r="AC13" s="2887">
        <f t="shared" si="5"/>
        <v>0.52895833333333342</v>
      </c>
      <c r="AD13" s="2887">
        <f t="shared" si="5"/>
        <v>0.52895833333333342</v>
      </c>
      <c r="AE13" s="2887">
        <f t="shared" si="5"/>
        <v>0.52895833333333342</v>
      </c>
      <c r="AF13" s="2887">
        <f t="shared" si="5"/>
        <v>0.52895833333333342</v>
      </c>
      <c r="AG13" s="2887">
        <f t="shared" si="5"/>
        <v>0.52895833333333342</v>
      </c>
      <c r="AH13" s="2887">
        <f t="shared" si="5"/>
        <v>0.52895833333333342</v>
      </c>
      <c r="AI13" s="2887">
        <f t="shared" si="5"/>
        <v>0.52895833333333342</v>
      </c>
      <c r="AJ13" s="2887">
        <f t="shared" si="5"/>
        <v>0.52895833333333342</v>
      </c>
    </row>
    <row r="14" spans="1:39" ht="12.75" customHeight="1">
      <c r="A14" s="3495"/>
      <c r="B14" s="1447"/>
      <c r="C14" s="1448"/>
      <c r="D14" s="1449"/>
      <c r="E14" s="1449"/>
      <c r="F14" s="1450"/>
      <c r="G14" s="1451" t="s">
        <v>949</v>
      </c>
      <c r="H14" s="1452"/>
      <c r="I14" s="1453"/>
      <c r="J14" s="1454"/>
      <c r="K14" s="3154"/>
      <c r="L14" s="3154"/>
      <c r="M14" s="3154"/>
      <c r="N14" s="3154"/>
      <c r="O14" s="3154"/>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96"/>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93" t="s">
        <v>1838</v>
      </c>
      <c r="B16" s="1423" t="s">
        <v>950</v>
      </c>
      <c r="C16" s="1052" t="e">
        <f>ROUND(IF(F17="与级别开发程度一致",0,(G17-E17)/C17),0)</f>
        <v>#DIV/0!</v>
      </c>
      <c r="D16" s="3490" t="s">
        <v>954</v>
      </c>
      <c r="E16" s="3491"/>
      <c r="F16" s="3490" t="s">
        <v>951</v>
      </c>
      <c r="G16" s="3491"/>
      <c r="H16" s="1455"/>
      <c r="I16" s="1455"/>
      <c r="J16" s="1455"/>
      <c r="K16" s="1455"/>
      <c r="L16" s="1455"/>
      <c r="M16" s="1455"/>
      <c r="N16" s="1455"/>
      <c r="O16" s="3178"/>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97"/>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43565</v>
      </c>
      <c r="H19" s="1463"/>
      <c r="I19" s="2739" t="str">
        <f>IF(H19="季度增幅（自定义）",SUMIF(N21:N24,E2,O21:O24),"")</f>
        <v/>
      </c>
      <c r="J19" s="1459"/>
      <c r="K19" s="3153"/>
      <c r="L19" s="2991" t="s">
        <v>2839</v>
      </c>
      <c r="M19" s="2992">
        <f>ROUND(SUMIF(地价!B2:F2,E2,地价!B26:F26),0)</f>
        <v>0</v>
      </c>
      <c r="N19" s="2741" t="s">
        <v>1676</v>
      </c>
      <c r="O19" s="2740">
        <f>ROUNDDOWN(DATEDIF(E19,G19,"M")/3,0)</f>
        <v>21</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2840</v>
      </c>
      <c r="M20" s="3162">
        <f>ROUND(SUMPRODUCT((地价!A4:A26=YEAR(G19)&amp;"-"&amp;ROUNDUP(MONTH(G19)/3,0))*(地价!B2:F2=E2)*(地价!B4:F26)),0)</f>
        <v>0</v>
      </c>
      <c r="N20" s="2744" t="s">
        <v>2644</v>
      </c>
      <c r="O20" s="2742" t="s">
        <v>2643</v>
      </c>
      <c r="P20" s="2743" t="s">
        <v>2648</v>
      </c>
      <c r="Q20" s="2879"/>
      <c r="R20" s="2179"/>
      <c r="S20" s="2179"/>
      <c r="T20" s="2179"/>
      <c r="U20" s="2179"/>
      <c r="V20" s="2179"/>
      <c r="W20" s="2179"/>
      <c r="X20" s="2179"/>
      <c r="Y20" s="1460"/>
      <c r="Z20" s="1460"/>
      <c r="AA20" s="1460"/>
      <c r="AB20" s="1460"/>
      <c r="AC20" s="1460"/>
      <c r="AD20" s="1460"/>
    </row>
    <row r="21" spans="1:40" s="1417" customFormat="1" ht="14.25">
      <c r="A21" s="1627" t="s">
        <v>1837</v>
      </c>
      <c r="B21" s="1468" t="s">
        <v>2759</v>
      </c>
      <c r="C21" s="1154">
        <f>IF(B21="容积率修正",IF(G3&lt;=10,D22,J22),C23)</f>
        <v>0</v>
      </c>
      <c r="D21" s="1469"/>
      <c r="E21" s="1469"/>
      <c r="F21" s="1469"/>
      <c r="G21" s="1469"/>
      <c r="H21" s="1469"/>
      <c r="I21" s="1469"/>
      <c r="J21" s="1470"/>
      <c r="K21" s="3153"/>
      <c r="L21" s="1469"/>
      <c r="M21" s="1469"/>
      <c r="N21" s="1466" t="s">
        <v>975</v>
      </c>
      <c r="O21" s="1529"/>
      <c r="P21" s="2731">
        <f>SUMPRODUCT((地价!A3:A26=YEAR(G19)&amp;"-"&amp;ROUNDUP(MONTH(G19)/3,0))*(地价!AD2:AH2=N21)*(地价!AD3:AH26))</f>
        <v>1.46E-2</v>
      </c>
      <c r="Q21" s="2879"/>
      <c r="R21" s="2179"/>
      <c r="S21" s="2179"/>
      <c r="T21" s="2179"/>
      <c r="U21" s="2179"/>
      <c r="V21" s="2179"/>
      <c r="W21" s="2179"/>
      <c r="X21" s="2179"/>
      <c r="Y21" s="1399"/>
      <c r="Z21" s="1399"/>
      <c r="AA21" s="1399"/>
      <c r="AB21" s="1399"/>
      <c r="AC21" s="1460"/>
      <c r="AD21" s="1460"/>
    </row>
    <row r="22" spans="1:40" s="1417" customFormat="1" ht="14.25">
      <c r="A22" s="1628" t="s">
        <v>1870</v>
      </c>
      <c r="B22" s="1471" t="s">
        <v>976</v>
      </c>
      <c r="C22" s="1056" t="s">
        <v>1702</v>
      </c>
      <c r="D22" s="1056">
        <f>IF(E22=G22,F22,IF(G3&lt;=10,ROUND(F22+(H22-F22)*(G3-E22)/(G22-E22),4),"——"))</f>
        <v>0</v>
      </c>
      <c r="E22" s="1039">
        <f>ROUNDDOWN(G3,1)</f>
        <v>1.4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69"/>
      <c r="M22" s="1469"/>
      <c r="N22" s="1466" t="s">
        <v>978</v>
      </c>
      <c r="O22" s="1529"/>
      <c r="P22" s="2731">
        <f>SUMPRODUCT((地价!A3:A26=YEAR(G19)&amp;"-"&amp;ROUNDUP(MONTH(G19)/3,0))*(地价!AD2:AH2=N22)*(地价!AD3:AH26))</f>
        <v>1.46E-2</v>
      </c>
      <c r="Q22" s="2879"/>
      <c r="R22" s="2179"/>
      <c r="S22" s="2179"/>
      <c r="T22" s="2179"/>
      <c r="U22" s="2179"/>
      <c r="V22" s="2179"/>
      <c r="W22" s="2179"/>
      <c r="X22" s="2179"/>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923</v>
      </c>
      <c r="O23" s="1529"/>
      <c r="P23" s="2731">
        <f>SUMPRODUCT((地价!A3:A26=YEAR(G19)&amp;"-"&amp;ROUNDUP(MONTH(G19)/3,0))*(地价!AD2:AH2=N23)*(地价!AD3:AH26))</f>
        <v>2.2599999999999999E-2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7"/>
      <c r="L24" s="1469"/>
      <c r="M24" s="1469"/>
      <c r="N24" s="1466" t="s">
        <v>981</v>
      </c>
      <c r="O24" s="3161"/>
      <c r="P24" s="2731">
        <f>SUMPRODUCT((地价!A3:A26=YEAR(G19)&amp;"-"&amp;ROUNDUP(MONTH(G19)/3,0))*(地价!AD2:AH2=N24)*(地价!AD3:AH26))</f>
        <v>1.4E-2</v>
      </c>
      <c r="Q24" s="2879"/>
      <c r="R24" s="2179"/>
      <c r="S24" s="2179"/>
      <c r="T24" s="2179"/>
      <c r="U24" s="2179"/>
      <c r="V24" s="2179"/>
      <c r="W24" s="2179"/>
      <c r="X24" s="2179"/>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9"/>
      <c r="M25" s="2179"/>
      <c r="N25" s="3163" t="s">
        <v>2646</v>
      </c>
      <c r="O25" s="3164"/>
      <c r="P25" s="2410">
        <f>SUMPRODUCT((地价!A3:A26=YEAR(G19)&amp;"-"&amp;ROUNDUP(MONTH(G19)/3,0))*(地价!AD2:AH2=N25)*(地价!AD3:AH26))</f>
        <v>2.06E-2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993</v>
      </c>
      <c r="C29" s="1059" t="e">
        <f>ROUND(C5*C18*C19*C20*C21*C24,0)</f>
        <v>#DIV/0!</v>
      </c>
      <c r="D29" s="1491"/>
      <c r="E29" s="1833" t="e">
        <f>ROUND(C29*D29/10000,0)</f>
        <v>#DIV/0!</v>
      </c>
      <c r="F29" s="1492" t="s">
        <v>1701</v>
      </c>
      <c r="G29" s="1493"/>
      <c r="H29" s="1493"/>
      <c r="I29" s="1493"/>
      <c r="J29" s="1494"/>
      <c r="K29" s="3158"/>
      <c r="L29" s="3158"/>
      <c r="M29" s="3158"/>
      <c r="N29" s="3158"/>
      <c r="O29" s="3158"/>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994</v>
      </c>
      <c r="C30" s="1051"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9"/>
      <c r="L32" s="3159"/>
      <c r="M32" s="3159"/>
      <c r="N32" s="3159"/>
      <c r="O32" s="3159"/>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500"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60"/>
      <c r="L33" s="3160"/>
      <c r="M33" s="3160"/>
      <c r="N33" s="3160"/>
      <c r="O33" s="3160"/>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501"/>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60"/>
      <c r="L34" s="3160"/>
      <c r="M34" s="3160"/>
      <c r="N34" s="3160"/>
      <c r="O34" s="3160"/>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501"/>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60"/>
      <c r="L35" s="3160"/>
      <c r="M35" s="3160"/>
      <c r="N35" s="3160"/>
      <c r="O35" s="3160"/>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502"/>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60"/>
      <c r="L36" s="3160"/>
      <c r="M36" s="3160"/>
      <c r="N36" s="3160"/>
      <c r="O36" s="3160"/>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9" t="s">
        <v>2987</v>
      </c>
      <c r="C41" s="839" t="e">
        <f>ROUND(POWER(1+E41,H41-G41)*(POWER(1+E41,G41)-1)/(POWER(1+E41,H41)-1),4)</f>
        <v>#DIV/0!</v>
      </c>
      <c r="D41" s="378" t="s">
        <v>2985</v>
      </c>
      <c r="E41" s="3148">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1008</v>
      </c>
      <c r="B46" s="2371" t="s">
        <v>1009</v>
      </c>
      <c r="C46" s="2393" t="s">
        <v>1010</v>
      </c>
      <c r="D46" s="2394" t="s">
        <v>1011</v>
      </c>
      <c r="E46" s="2395" t="s">
        <v>1013</v>
      </c>
      <c r="F46" s="2396" t="s">
        <v>2250</v>
      </c>
      <c r="G46" s="2394" t="s">
        <v>1014</v>
      </c>
      <c r="H46" s="2377" t="s">
        <v>2417</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1008</v>
      </c>
      <c r="B57" s="2371"/>
      <c r="C57" s="2393" t="s">
        <v>1010</v>
      </c>
      <c r="D57" s="2394" t="s">
        <v>1011</v>
      </c>
      <c r="E57" s="2395" t="s">
        <v>1013</v>
      </c>
      <c r="F57" s="2396" t="s">
        <v>2251</v>
      </c>
      <c r="G57" s="2394" t="s">
        <v>1014</v>
      </c>
      <c r="H57" s="2377" t="s">
        <v>2417</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1008</v>
      </c>
      <c r="B68" s="2371"/>
      <c r="C68" s="2393" t="s">
        <v>1010</v>
      </c>
      <c r="D68" s="2394" t="s">
        <v>1011</v>
      </c>
      <c r="E68" s="2395" t="s">
        <v>1013</v>
      </c>
      <c r="F68" s="2396" t="s">
        <v>2252</v>
      </c>
      <c r="G68" s="2394" t="s">
        <v>1014</v>
      </c>
      <c r="H68" s="2377" t="s">
        <v>2417</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1036</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1008</v>
      </c>
      <c r="B79" s="2371"/>
      <c r="C79" s="2393" t="s">
        <v>1010</v>
      </c>
      <c r="D79" s="2394" t="s">
        <v>1011</v>
      </c>
      <c r="E79" s="2395" t="s">
        <v>1013</v>
      </c>
      <c r="F79" s="2396" t="s">
        <v>2253</v>
      </c>
      <c r="G79" s="2394" t="s">
        <v>1014</v>
      </c>
      <c r="H79" s="2377" t="s">
        <v>2417</v>
      </c>
      <c r="I79" s="2394" t="s">
        <v>1012</v>
      </c>
      <c r="J79" s="2397" t="s">
        <v>1015</v>
      </c>
      <c r="K79" s="2397" t="s">
        <v>1016</v>
      </c>
      <c r="L79" s="2397" t="s">
        <v>1017</v>
      </c>
      <c r="M79" s="2397" t="s">
        <v>1018</v>
      </c>
      <c r="N79" s="2397" t="s">
        <v>1019</v>
      </c>
      <c r="AC79" s="1401"/>
      <c r="AD79" s="1400"/>
      <c r="AJ79" s="1399"/>
      <c r="AN79" s="1400"/>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98" t="s">
        <v>1633</v>
      </c>
      <c r="B90" s="3498"/>
      <c r="C90" s="3498"/>
      <c r="D90" s="3498"/>
      <c r="E90" s="3498"/>
      <c r="F90" s="3498"/>
      <c r="G90" s="3498"/>
      <c r="H90" s="3498"/>
      <c r="I90" s="3498"/>
      <c r="J90" s="3498"/>
      <c r="K90" s="2413"/>
      <c r="L90" s="2413"/>
      <c r="M90" s="2413"/>
      <c r="N90" s="2413"/>
    </row>
    <row r="91" spans="1:40">
      <c r="A91" s="3499" t="s">
        <v>1443</v>
      </c>
      <c r="B91" s="3499" t="s">
        <v>1634</v>
      </c>
      <c r="C91" s="1136" t="s">
        <v>1635</v>
      </c>
      <c r="D91" s="1137"/>
      <c r="E91" s="1137"/>
      <c r="F91" s="1137"/>
      <c r="G91" s="1137"/>
      <c r="H91" s="1137"/>
      <c r="I91" s="1137"/>
      <c r="J91" s="1138"/>
      <c r="K91" s="1130"/>
      <c r="L91" s="1130"/>
      <c r="M91" s="1130"/>
      <c r="N91" s="1130"/>
    </row>
    <row r="92" spans="1:40">
      <c r="A92" s="3499"/>
      <c r="B92" s="349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85"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8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8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8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8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8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8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8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85" t="s">
        <v>1637</v>
      </c>
      <c r="B101" s="1143" t="s">
        <v>906</v>
      </c>
      <c r="C101" s="1144">
        <f>$G$3</f>
        <v>1.44</v>
      </c>
      <c r="D101" s="1144">
        <f t="shared" ref="D101:N101" si="31">$G$3</f>
        <v>1.44</v>
      </c>
      <c r="E101" s="1144">
        <f t="shared" si="31"/>
        <v>1.44</v>
      </c>
      <c r="F101" s="1144">
        <f t="shared" si="31"/>
        <v>1.44</v>
      </c>
      <c r="G101" s="1144">
        <f t="shared" si="31"/>
        <v>1.44</v>
      </c>
      <c r="H101" s="1144">
        <f t="shared" si="31"/>
        <v>1.44</v>
      </c>
      <c r="I101" s="1144">
        <f t="shared" si="31"/>
        <v>1.44</v>
      </c>
      <c r="J101" s="1144">
        <f t="shared" si="31"/>
        <v>1.44</v>
      </c>
      <c r="K101" s="1144">
        <f t="shared" si="31"/>
        <v>1.44</v>
      </c>
      <c r="L101" s="1144">
        <f t="shared" si="31"/>
        <v>1.44</v>
      </c>
      <c r="M101" s="1144">
        <f t="shared" si="31"/>
        <v>1.44</v>
      </c>
      <c r="N101" s="1144">
        <f t="shared" si="31"/>
        <v>1.44</v>
      </c>
    </row>
    <row r="102" spans="1:14">
      <c r="A102" s="3486"/>
      <c r="B102" s="1139">
        <v>1</v>
      </c>
      <c r="C102" s="1140">
        <f>1.9362/C101</f>
        <v>1.3445833333333332</v>
      </c>
      <c r="D102" s="1140">
        <f>1.9362/D101</f>
        <v>1.3445833333333332</v>
      </c>
      <c r="E102" s="1140">
        <f>1.8629/E101</f>
        <v>1.2936805555555555</v>
      </c>
      <c r="F102" s="1140">
        <f>1.8629/F101</f>
        <v>1.2936805555555555</v>
      </c>
      <c r="G102" s="1140">
        <f>1.8629/G101</f>
        <v>1.2936805555555555</v>
      </c>
      <c r="H102" s="1140">
        <f>1.8629/H101</f>
        <v>1.2936805555555555</v>
      </c>
      <c r="I102" s="1140">
        <f>1.8629/I101</f>
        <v>1.2936805555555555</v>
      </c>
      <c r="J102" s="1140">
        <f>1.942/J101</f>
        <v>1.3486111111111112</v>
      </c>
      <c r="K102" s="1140">
        <f>1.942/K101</f>
        <v>1.3486111111111112</v>
      </c>
      <c r="L102" s="1140">
        <f>1.942/L101</f>
        <v>1.3486111111111112</v>
      </c>
      <c r="M102" s="1140">
        <f>1.942/M101</f>
        <v>1.3486111111111112</v>
      </c>
      <c r="N102" s="1140">
        <f>1.942/N101</f>
        <v>1.3486111111111112</v>
      </c>
    </row>
    <row r="103" spans="1:14">
      <c r="A103" s="3486"/>
      <c r="B103" s="1139">
        <v>2</v>
      </c>
      <c r="C103" s="1140">
        <f>1.4198/C101</f>
        <v>0.98597222222222225</v>
      </c>
      <c r="D103" s="1140">
        <f>1.4198/D101</f>
        <v>0.98597222222222225</v>
      </c>
      <c r="E103" s="1140">
        <f>1.3372/E101</f>
        <v>0.92861111111111105</v>
      </c>
      <c r="F103" s="1140">
        <f>1.3372/F101</f>
        <v>0.92861111111111105</v>
      </c>
      <c r="G103" s="1140">
        <f>1.3372/G101</f>
        <v>0.92861111111111105</v>
      </c>
      <c r="H103" s="1140">
        <f>1.3372/H101</f>
        <v>0.92861111111111105</v>
      </c>
      <c r="I103" s="1140">
        <f>1.3372/I101</f>
        <v>0.92861111111111105</v>
      </c>
      <c r="J103" s="1140">
        <f>1.2799/J101</f>
        <v>0.8888194444444445</v>
      </c>
      <c r="K103" s="1140">
        <f>1.2799/K101</f>
        <v>0.8888194444444445</v>
      </c>
      <c r="L103" s="1140">
        <f>1.2799/L101</f>
        <v>0.8888194444444445</v>
      </c>
      <c r="M103" s="1140">
        <f>1.2799/M101</f>
        <v>0.8888194444444445</v>
      </c>
      <c r="N103" s="1140">
        <f>1.2799/N101</f>
        <v>0.8888194444444445</v>
      </c>
    </row>
    <row r="104" spans="1:14">
      <c r="A104" s="3486"/>
      <c r="B104" s="1139">
        <v>3</v>
      </c>
      <c r="C104" s="1140">
        <f>1.1594/C101</f>
        <v>0.80513888888888896</v>
      </c>
      <c r="D104" s="1140">
        <f>1.1594/D101</f>
        <v>0.80513888888888896</v>
      </c>
      <c r="E104" s="1140">
        <f>1.0788/E101</f>
        <v>0.74916666666666665</v>
      </c>
      <c r="F104" s="1140">
        <f>1.0788/F101</f>
        <v>0.74916666666666665</v>
      </c>
      <c r="G104" s="1140">
        <f>1.0788/G101</f>
        <v>0.74916666666666665</v>
      </c>
      <c r="H104" s="1140">
        <f>1.0788/H101</f>
        <v>0.74916666666666665</v>
      </c>
      <c r="I104" s="1140">
        <f>1.0788/I101</f>
        <v>0.74916666666666665</v>
      </c>
      <c r="J104" s="1140">
        <f>1.0072/J101</f>
        <v>0.69944444444444454</v>
      </c>
      <c r="K104" s="1140">
        <f>1.0072/K101</f>
        <v>0.69944444444444454</v>
      </c>
      <c r="L104" s="1140">
        <f>1.0072/L101</f>
        <v>0.69944444444444454</v>
      </c>
      <c r="M104" s="1140">
        <f>1.0072/M101</f>
        <v>0.69944444444444454</v>
      </c>
      <c r="N104" s="1140">
        <f>1.0072/N101</f>
        <v>0.69944444444444454</v>
      </c>
    </row>
    <row r="105" spans="1:14">
      <c r="A105" s="3486"/>
      <c r="B105" s="1139">
        <v>4</v>
      </c>
      <c r="C105" s="1140">
        <f>0.9622/C101</f>
        <v>0.66819444444444454</v>
      </c>
      <c r="D105" s="1140">
        <f>0.9622/D101</f>
        <v>0.66819444444444454</v>
      </c>
      <c r="E105" s="1140">
        <f>0.8656/E101</f>
        <v>0.60111111111111115</v>
      </c>
      <c r="F105" s="1140">
        <f>0.8656/F101</f>
        <v>0.60111111111111115</v>
      </c>
      <c r="G105" s="1140">
        <f>0.8656/G101</f>
        <v>0.60111111111111115</v>
      </c>
      <c r="H105" s="1140">
        <f>0.8656/H101</f>
        <v>0.60111111111111115</v>
      </c>
      <c r="I105" s="1140">
        <f>0.8656/I101</f>
        <v>0.60111111111111115</v>
      </c>
      <c r="J105" s="1140">
        <f>0.7525/J101</f>
        <v>0.52256944444444442</v>
      </c>
      <c r="K105" s="1140">
        <f>0.7525/K101</f>
        <v>0.52256944444444442</v>
      </c>
      <c r="L105" s="1140">
        <f>0.7525/L101</f>
        <v>0.52256944444444442</v>
      </c>
      <c r="M105" s="1140">
        <f>0.7525/M101</f>
        <v>0.52256944444444442</v>
      </c>
      <c r="N105" s="1140">
        <f>0.7525/N101</f>
        <v>0.52256944444444442</v>
      </c>
    </row>
    <row r="106" spans="1:14">
      <c r="A106" s="3486"/>
      <c r="B106" s="1139">
        <v>5</v>
      </c>
      <c r="C106" s="1140">
        <f>0.8417/C101</f>
        <v>0.58451388888888889</v>
      </c>
      <c r="D106" s="1140">
        <f>0.8417/D101</f>
        <v>0.58451388888888889</v>
      </c>
      <c r="E106" s="1140">
        <f>0.7371/E101</f>
        <v>0.51187499999999997</v>
      </c>
      <c r="F106" s="1140">
        <f>0.7371/F101</f>
        <v>0.51187499999999997</v>
      </c>
      <c r="G106" s="1140">
        <f>0.7371/G101</f>
        <v>0.51187499999999997</v>
      </c>
      <c r="H106" s="1140">
        <f>0.7371/H101</f>
        <v>0.51187499999999997</v>
      </c>
      <c r="I106" s="1140">
        <f>0.7371/I101</f>
        <v>0.51187499999999997</v>
      </c>
      <c r="J106" s="1140">
        <f>0.5659/J101</f>
        <v>0.39298611111111109</v>
      </c>
      <c r="K106" s="1140">
        <f>0.5659/K101</f>
        <v>0.39298611111111109</v>
      </c>
      <c r="L106" s="1140">
        <f>0.5659/L101</f>
        <v>0.39298611111111109</v>
      </c>
      <c r="M106" s="1140">
        <f>0.5659/M101</f>
        <v>0.39298611111111109</v>
      </c>
      <c r="N106" s="1140">
        <f>0.5659/N101</f>
        <v>0.39298611111111109</v>
      </c>
    </row>
    <row r="107" spans="1:14">
      <c r="A107" s="3486"/>
      <c r="B107" s="1139">
        <v>6</v>
      </c>
      <c r="C107" s="1140">
        <f>0.7608/C101</f>
        <v>0.52833333333333332</v>
      </c>
      <c r="D107" s="1140">
        <f>0.7608/D101</f>
        <v>0.52833333333333332</v>
      </c>
      <c r="E107" s="1140">
        <f>0.6482/E101</f>
        <v>0.45013888888888892</v>
      </c>
      <c r="F107" s="1140">
        <f>0.6482/F101</f>
        <v>0.45013888888888892</v>
      </c>
      <c r="G107" s="1140">
        <f>0.6482/G101</f>
        <v>0.45013888888888892</v>
      </c>
      <c r="H107" s="1140">
        <f>0.6482/H101</f>
        <v>0.45013888888888892</v>
      </c>
      <c r="I107" s="1140">
        <f>0.6482/I101</f>
        <v>0.45013888888888892</v>
      </c>
      <c r="J107" s="1140">
        <f>0.4525/J101</f>
        <v>0.3142361111111111</v>
      </c>
      <c r="K107" s="1140">
        <f>0.4525/K101</f>
        <v>0.3142361111111111</v>
      </c>
      <c r="L107" s="1140">
        <f>0.4525/L101</f>
        <v>0.3142361111111111</v>
      </c>
      <c r="M107" s="1140">
        <f>0.4525/M101</f>
        <v>0.3142361111111111</v>
      </c>
      <c r="N107" s="1140">
        <f>0.4525/N101</f>
        <v>0.3142361111111111</v>
      </c>
    </row>
    <row r="108" spans="1:14">
      <c r="A108" s="3486"/>
      <c r="B108" s="348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87"/>
      <c r="B109" s="3489"/>
      <c r="C109" s="1142">
        <f>(-0.163*(C108^2)-0.59*C108+7617)*(10^(-4))/C101</f>
        <v>0.52790611111111108</v>
      </c>
      <c r="D109" s="1142">
        <f>(-0.163*(D108^2)-0.59*D108+7617)*(10^(-4))/D101</f>
        <v>0.52790611111111108</v>
      </c>
      <c r="E109" s="1142">
        <f>(-0.161*(E108^2)-7.509*E108+6533)*(10^(-4))/E101</f>
        <v>0.44879333333333338</v>
      </c>
      <c r="F109" s="1142">
        <f>(-0.161*(F108^2)-7.509*F108+6533)*(10^(-4))/F101</f>
        <v>0.44879333333333338</v>
      </c>
      <c r="G109" s="1142">
        <f>(-0.161*(G108^2)-7.509*G108+6533)*(10^(-4))/G101</f>
        <v>0.44879333333333338</v>
      </c>
      <c r="H109" s="1142">
        <f>(-0.161*(H108^2)-7.509*H108+6533)*(10^(-4))/H101</f>
        <v>0.44879333333333338</v>
      </c>
      <c r="I109" s="1142">
        <f>(-0.161*(I108^2)-7.509*I108+6533)*(10^(-4))/I101</f>
        <v>0.44879333333333338</v>
      </c>
      <c r="J109" s="1142">
        <f>(-0.214*(J108^2)-21.991*J108+4665)*(10^(-4))/J101</f>
        <v>0.31079000000000001</v>
      </c>
      <c r="K109" s="1142">
        <f>(-0.214*(K108^2)-21.991*K108+4665)*(10^(-4))/K101</f>
        <v>0.31079000000000001</v>
      </c>
      <c r="L109" s="1142">
        <f>(-0.214*(L108^2)-21.991*L108+4665)*(10^(-4))/L101</f>
        <v>0.31079000000000001</v>
      </c>
      <c r="M109" s="1142">
        <f>(-0.214*(M108^2)-21.991*M108+4665)*(10^(-4))/M101</f>
        <v>0.31079000000000001</v>
      </c>
      <c r="N109" s="1142">
        <f>(-0.214*(N108^2)-21.991*N108+4665)*(10^(-4))/N101</f>
        <v>0.31079000000000001</v>
      </c>
    </row>
    <row r="110" spans="1:14">
      <c r="A110" s="3492" t="s">
        <v>1639</v>
      </c>
      <c r="B110" s="3492"/>
      <c r="C110" s="3492"/>
      <c r="D110" s="3492"/>
      <c r="E110" s="3492"/>
      <c r="F110" s="3492"/>
      <c r="G110" s="3492"/>
      <c r="H110" s="3492"/>
      <c r="I110" s="3492"/>
      <c r="J110" s="3492"/>
      <c r="K110" s="2411"/>
      <c r="L110" s="2411"/>
      <c r="M110" s="2411"/>
      <c r="N110" s="2411"/>
    </row>
    <row r="112" spans="1:14" ht="12.75" thickBot="1"/>
    <row r="113" spans="1:13" ht="25.5" thickBot="1">
      <c r="A113" s="1016" t="s">
        <v>896</v>
      </c>
      <c r="B113" s="2414">
        <f>G3</f>
        <v>1.44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v>
      </c>
      <c r="C115" s="1030">
        <f>B115</f>
        <v>0.92</v>
      </c>
      <c r="D115" s="1030">
        <f>ROUND(0.8331-0.0109*B113,4)</f>
        <v>0.81740000000000002</v>
      </c>
      <c r="E115" s="1030">
        <f>D115</f>
        <v>0.81740000000000002</v>
      </c>
      <c r="F115" s="1030">
        <f>E115</f>
        <v>0.81740000000000002</v>
      </c>
      <c r="G115" s="1030">
        <f>F115</f>
        <v>0.81740000000000002</v>
      </c>
      <c r="H115" s="1030">
        <f>G115</f>
        <v>0.81740000000000002</v>
      </c>
      <c r="I115" s="1030">
        <f>ROUND(0.689-0.0155*B113,4)</f>
        <v>0.66669999999999996</v>
      </c>
      <c r="J115" s="1030">
        <f t="shared" ref="J115:M118" si="33">I115</f>
        <v>0.66669999999999996</v>
      </c>
      <c r="K115" s="1030">
        <f t="shared" si="33"/>
        <v>0.66669999999999996</v>
      </c>
      <c r="L115" s="1030">
        <f t="shared" si="33"/>
        <v>0.66669999999999996</v>
      </c>
      <c r="M115" s="1031">
        <f t="shared" si="33"/>
        <v>0.66669999999999996</v>
      </c>
    </row>
    <row r="116" spans="1:13" ht="12.75">
      <c r="A116" s="1029" t="s">
        <v>901</v>
      </c>
      <c r="B116" s="1030">
        <f>ROUND(0.949-0.012*B113,4)</f>
        <v>0.93169999999999997</v>
      </c>
      <c r="C116" s="1030">
        <f>B116</f>
        <v>0.93169999999999997</v>
      </c>
      <c r="D116" s="1030">
        <f>ROUND(0.8567-0.013*B113,4)</f>
        <v>0.83799999999999997</v>
      </c>
      <c r="E116" s="1030">
        <f t="shared" ref="E116:H117" si="34">D116</f>
        <v>0.83799999999999997</v>
      </c>
      <c r="F116" s="1030">
        <f t="shared" si="34"/>
        <v>0.83799999999999997</v>
      </c>
      <c r="G116" s="1030">
        <f t="shared" si="34"/>
        <v>0.83799999999999997</v>
      </c>
      <c r="H116" s="1030">
        <f t="shared" si="34"/>
        <v>0.83799999999999997</v>
      </c>
      <c r="I116" s="1030">
        <f>ROUND(0.7694-0.014*B113,4)</f>
        <v>0.74919999999999998</v>
      </c>
      <c r="J116" s="1030">
        <f t="shared" si="33"/>
        <v>0.74919999999999998</v>
      </c>
      <c r="K116" s="1030">
        <f t="shared" si="33"/>
        <v>0.74919999999999998</v>
      </c>
      <c r="L116" s="1030">
        <f t="shared" si="33"/>
        <v>0.74919999999999998</v>
      </c>
      <c r="M116" s="1031">
        <f t="shared" si="33"/>
        <v>0.74919999999999998</v>
      </c>
    </row>
    <row r="117" spans="1:13" ht="12.75">
      <c r="A117" s="1032" t="s">
        <v>902</v>
      </c>
      <c r="B117" s="1030">
        <f>ROUND(0.8808-0.006*B113,4)</f>
        <v>0.87219999999999998</v>
      </c>
      <c r="C117" s="1030">
        <f>B117</f>
        <v>0.87219999999999998</v>
      </c>
      <c r="D117" s="1030">
        <f>ROUND(0.8748-0.008*B113,4)</f>
        <v>0.86329999999999996</v>
      </c>
      <c r="E117" s="1030">
        <f t="shared" si="34"/>
        <v>0.86329999999999996</v>
      </c>
      <c r="F117" s="1030">
        <f t="shared" si="34"/>
        <v>0.86329999999999996</v>
      </c>
      <c r="G117" s="1030">
        <f t="shared" si="34"/>
        <v>0.86329999999999996</v>
      </c>
      <c r="H117" s="1030">
        <f t="shared" si="34"/>
        <v>0.86329999999999996</v>
      </c>
      <c r="I117" s="1030">
        <f>ROUND(0.7412-0.0095*B113,4)</f>
        <v>0.72750000000000004</v>
      </c>
      <c r="J117" s="1030">
        <f t="shared" si="33"/>
        <v>0.72750000000000004</v>
      </c>
      <c r="K117" s="1030">
        <f t="shared" si="33"/>
        <v>0.72750000000000004</v>
      </c>
      <c r="L117" s="1030">
        <f t="shared" si="33"/>
        <v>0.72750000000000004</v>
      </c>
      <c r="M117" s="1031">
        <f t="shared" si="33"/>
        <v>0.72750000000000004</v>
      </c>
    </row>
    <row r="118" spans="1:13" ht="13.5" thickBot="1">
      <c r="A118" s="1033" t="s">
        <v>903</v>
      </c>
      <c r="B118" s="1034">
        <f>ROUND(0.7275-0.01*B113,4)</f>
        <v>0.71309999999999996</v>
      </c>
      <c r="C118" s="1034">
        <f>B118</f>
        <v>0.71309999999999996</v>
      </c>
      <c r="D118" s="1034">
        <f>ROUND(0.7043-0.012*B113,4)</f>
        <v>0.68700000000000006</v>
      </c>
      <c r="E118" s="1034">
        <f>D118</f>
        <v>0.68700000000000006</v>
      </c>
      <c r="F118" s="1034">
        <f>E118</f>
        <v>0.68700000000000006</v>
      </c>
      <c r="G118" s="1034">
        <f>ROUND(0.6299-0.0122*B113,4)</f>
        <v>0.61229999999999996</v>
      </c>
      <c r="H118" s="1034">
        <f>G118</f>
        <v>0.61229999999999996</v>
      </c>
      <c r="I118" s="1034">
        <f>ROUND(0.5667-0.0136*B113,4)</f>
        <v>0.54710000000000003</v>
      </c>
      <c r="J118" s="1034">
        <f t="shared" si="33"/>
        <v>0.54710000000000003</v>
      </c>
      <c r="K118" s="1034">
        <f t="shared" si="33"/>
        <v>0.54710000000000003</v>
      </c>
      <c r="L118" s="1034">
        <f t="shared" si="33"/>
        <v>0.54710000000000003</v>
      </c>
      <c r="M118" s="1035">
        <f t="shared" si="33"/>
        <v>0.54710000000000003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99" t="s">
        <v>1007</v>
      </c>
      <c r="B18" s="1150" t="s">
        <v>1446</v>
      </c>
      <c r="C18" s="1127" t="s">
        <v>1447</v>
      </c>
      <c r="D18" s="1128"/>
      <c r="E18" s="1150">
        <v>1</v>
      </c>
      <c r="F18" s="1129" t="s">
        <v>1448</v>
      </c>
      <c r="G18" s="1130"/>
      <c r="H18" s="1101"/>
      <c r="I18" s="1101"/>
    </row>
    <row r="19" spans="1:9" s="1584" customFormat="1" ht="19.5" customHeight="1">
      <c r="A19" s="3499"/>
      <c r="B19" s="3499" t="s">
        <v>1449</v>
      </c>
      <c r="C19" s="1127" t="s">
        <v>1450</v>
      </c>
      <c r="D19" s="1128"/>
      <c r="E19" s="1150">
        <v>0.9</v>
      </c>
      <c r="F19" s="1129" t="s">
        <v>1451</v>
      </c>
      <c r="G19" s="1130"/>
      <c r="H19" s="1101"/>
      <c r="I19" s="1101"/>
    </row>
    <row r="20" spans="1:9" s="1584" customFormat="1" ht="19.5" customHeight="1">
      <c r="A20" s="3499"/>
      <c r="B20" s="3499"/>
      <c r="C20" s="1127" t="s">
        <v>1452</v>
      </c>
      <c r="D20" s="1128"/>
      <c r="E20" s="1150">
        <v>1.1000000000000001</v>
      </c>
      <c r="F20" s="1129" t="s">
        <v>1453</v>
      </c>
      <c r="G20" s="1130"/>
      <c r="H20" s="1101"/>
      <c r="I20" s="1101"/>
    </row>
    <row r="21" spans="1:9" s="1584" customFormat="1" ht="19.5" customHeight="1">
      <c r="A21" s="3499"/>
      <c r="B21" s="3499"/>
      <c r="C21" s="1127" t="s">
        <v>1454</v>
      </c>
      <c r="D21" s="1128"/>
      <c r="E21" s="1150">
        <v>0.8</v>
      </c>
      <c r="F21" s="1129" t="s">
        <v>1455</v>
      </c>
      <c r="G21" s="1130"/>
      <c r="H21" s="1101"/>
      <c r="I21" s="1101"/>
    </row>
    <row r="22" spans="1:9" s="1584" customFormat="1" ht="19.5" customHeight="1">
      <c r="A22" s="3499"/>
      <c r="B22" s="3499"/>
      <c r="C22" s="1127" t="s">
        <v>1456</v>
      </c>
      <c r="D22" s="1128"/>
      <c r="E22" s="1150">
        <v>0.5</v>
      </c>
      <c r="F22" s="1129"/>
      <c r="G22" s="1130"/>
      <c r="H22" s="1101"/>
      <c r="I22" s="1101"/>
    </row>
    <row r="23" spans="1:9" s="1584" customFormat="1" ht="19.5" customHeight="1">
      <c r="A23" s="3499" t="s">
        <v>1029</v>
      </c>
      <c r="B23" s="1150" t="s">
        <v>1446</v>
      </c>
      <c r="C23" s="1127" t="s">
        <v>1457</v>
      </c>
      <c r="D23" s="1128"/>
      <c r="E23" s="1150">
        <v>1</v>
      </c>
      <c r="F23" s="1129" t="s">
        <v>1458</v>
      </c>
      <c r="G23" s="1130"/>
      <c r="H23" s="1101"/>
      <c r="I23" s="1101"/>
    </row>
    <row r="24" spans="1:9" s="1584" customFormat="1" ht="19.5" customHeight="1">
      <c r="A24" s="3499"/>
      <c r="B24" s="3499" t="s">
        <v>1449</v>
      </c>
      <c r="C24" s="1127" t="s">
        <v>1459</v>
      </c>
      <c r="D24" s="1128"/>
      <c r="E24" s="1150">
        <v>0.5</v>
      </c>
      <c r="F24" s="1129"/>
      <c r="G24" s="1130"/>
      <c r="H24" s="1101"/>
      <c r="I24" s="1101"/>
    </row>
    <row r="25" spans="1:9" s="1584" customFormat="1" ht="19.5" customHeight="1">
      <c r="A25" s="3499"/>
      <c r="B25" s="3499"/>
      <c r="C25" s="1127" t="s">
        <v>1460</v>
      </c>
      <c r="D25" s="1128"/>
      <c r="E25" s="1150">
        <v>1.1000000000000001</v>
      </c>
      <c r="F25" s="1129"/>
      <c r="G25" s="1130"/>
      <c r="H25" s="1101"/>
      <c r="I25" s="1101"/>
    </row>
    <row r="26" spans="1:9" s="1584" customFormat="1" ht="19.5" customHeight="1">
      <c r="A26" s="3499"/>
      <c r="B26" s="3499"/>
      <c r="C26" s="1127" t="s">
        <v>1461</v>
      </c>
      <c r="D26" s="1128"/>
      <c r="E26" s="1150">
        <v>1.1000000000000001</v>
      </c>
      <c r="F26" s="1129"/>
      <c r="G26" s="1130"/>
      <c r="H26" s="1101"/>
      <c r="I26" s="1101"/>
    </row>
    <row r="27" spans="1:9" s="1584" customFormat="1" ht="19.5" customHeight="1">
      <c r="A27" s="3499"/>
      <c r="B27" s="3499"/>
      <c r="C27" s="1127" t="s">
        <v>1462</v>
      </c>
      <c r="D27" s="1128"/>
      <c r="E27" s="1150">
        <v>0.9</v>
      </c>
      <c r="F27" s="1129" t="s">
        <v>1463</v>
      </c>
      <c r="G27" s="1130"/>
      <c r="H27" s="1101"/>
      <c r="I27" s="1101"/>
    </row>
    <row r="28" spans="1:9" s="1584" customFormat="1" ht="19.5" customHeight="1">
      <c r="A28" s="3499"/>
      <c r="B28" s="3499"/>
      <c r="C28" s="1127" t="s">
        <v>1464</v>
      </c>
      <c r="D28" s="1128"/>
      <c r="E28" s="1150">
        <v>0.9</v>
      </c>
      <c r="F28" s="1129" t="s">
        <v>1465</v>
      </c>
      <c r="G28" s="1130"/>
      <c r="H28" s="1101"/>
      <c r="I28" s="1101"/>
    </row>
    <row r="29" spans="1:9" s="1584" customFormat="1" ht="19.5" customHeight="1">
      <c r="A29" s="3499"/>
      <c r="B29" s="3499"/>
      <c r="C29" s="1127" t="s">
        <v>1466</v>
      </c>
      <c r="D29" s="1128"/>
      <c r="E29" s="1150">
        <v>0.9</v>
      </c>
      <c r="F29" s="1129" t="s">
        <v>1467</v>
      </c>
      <c r="G29" s="1130"/>
      <c r="H29" s="1101"/>
      <c r="I29" s="1101"/>
    </row>
    <row r="30" spans="1:9" s="1584" customFormat="1" ht="19.5" customHeight="1">
      <c r="A30" s="3499"/>
      <c r="B30" s="3499"/>
      <c r="C30" s="1127" t="s">
        <v>1468</v>
      </c>
      <c r="D30" s="1128"/>
      <c r="E30" s="1150">
        <v>0.9</v>
      </c>
      <c r="F30" s="1129" t="s">
        <v>1469</v>
      </c>
      <c r="G30" s="1130"/>
      <c r="H30" s="1101"/>
      <c r="I30" s="1101"/>
    </row>
    <row r="31" spans="1:9" s="1584" customFormat="1" ht="19.5" customHeight="1">
      <c r="A31" s="3499"/>
      <c r="B31" s="3499"/>
      <c r="C31" s="1127" t="s">
        <v>1470</v>
      </c>
      <c r="D31" s="1128"/>
      <c r="E31" s="1150">
        <v>0.8</v>
      </c>
      <c r="F31" s="1129" t="s">
        <v>1471</v>
      </c>
      <c r="G31" s="1130"/>
      <c r="H31" s="1101"/>
      <c r="I31" s="1101"/>
    </row>
    <row r="32" spans="1:9" s="1584" customFormat="1" ht="19.5" customHeight="1">
      <c r="A32" s="3499"/>
      <c r="B32" s="3499"/>
      <c r="C32" s="1127" t="s">
        <v>1472</v>
      </c>
      <c r="D32" s="1128"/>
      <c r="E32" s="1150">
        <v>0.8</v>
      </c>
      <c r="F32" s="1129" t="s">
        <v>1473</v>
      </c>
      <c r="G32" s="1130"/>
      <c r="H32" s="1101"/>
      <c r="I32" s="1101"/>
    </row>
    <row r="33" spans="1:9" s="1584" customFormat="1" ht="19.5" customHeight="1">
      <c r="A33" s="3499" t="s">
        <v>1474</v>
      </c>
      <c r="B33" s="1150" t="s">
        <v>1446</v>
      </c>
      <c r="C33" s="1127" t="s">
        <v>1475</v>
      </c>
      <c r="D33" s="1128"/>
      <c r="E33" s="1150">
        <v>1</v>
      </c>
      <c r="F33" s="1129" t="s">
        <v>1476</v>
      </c>
      <c r="G33" s="1130"/>
      <c r="H33" s="1101"/>
      <c r="I33" s="1101"/>
    </row>
    <row r="34" spans="1:9" s="1584" customFormat="1" ht="19.5" customHeight="1">
      <c r="A34" s="3499"/>
      <c r="B34" s="1150" t="s">
        <v>1449</v>
      </c>
      <c r="C34" s="1127" t="s">
        <v>1477</v>
      </c>
      <c r="D34" s="1128"/>
      <c r="E34" s="1150">
        <v>1.5</v>
      </c>
      <c r="F34" s="1129" t="s">
        <v>1478</v>
      </c>
      <c r="G34" s="1130"/>
      <c r="H34" s="1101"/>
      <c r="I34" s="1101"/>
    </row>
    <row r="35" spans="1:9" s="1584" customFormat="1" ht="19.5" customHeight="1">
      <c r="A35" s="3499" t="s">
        <v>1432</v>
      </c>
      <c r="B35" s="1150" t="s">
        <v>1446</v>
      </c>
      <c r="C35" s="1127" t="s">
        <v>1479</v>
      </c>
      <c r="D35" s="1128"/>
      <c r="E35" s="1150">
        <v>1</v>
      </c>
      <c r="F35" s="1129" t="s">
        <v>1480</v>
      </c>
      <c r="G35" s="1130"/>
      <c r="H35" s="1101"/>
      <c r="I35" s="1101"/>
    </row>
    <row r="36" spans="1:9" s="1584" customFormat="1" ht="19.5" customHeight="1">
      <c r="A36" s="3499"/>
      <c r="B36" s="3499" t="s">
        <v>1449</v>
      </c>
      <c r="C36" s="1127" t="s">
        <v>1481</v>
      </c>
      <c r="D36" s="1128"/>
      <c r="E36" s="1150">
        <v>1</v>
      </c>
      <c r="F36" s="1129" t="s">
        <v>1482</v>
      </c>
      <c r="G36" s="1130"/>
      <c r="H36" s="1101"/>
      <c r="I36" s="1101"/>
    </row>
    <row r="37" spans="1:9" s="1584" customFormat="1" ht="19.5" customHeight="1">
      <c r="A37" s="3499"/>
      <c r="B37" s="3499"/>
      <c r="C37" s="1127" t="s">
        <v>1483</v>
      </c>
      <c r="D37" s="1128"/>
      <c r="E37" s="1150">
        <v>1.5</v>
      </c>
      <c r="F37" s="1129" t="s">
        <v>1484</v>
      </c>
      <c r="G37" s="1130"/>
      <c r="H37" s="1101"/>
      <c r="I37" s="1101"/>
    </row>
    <row r="38" spans="1:9" s="1584" customFormat="1" ht="19.5" customHeight="1">
      <c r="A38" s="3499"/>
      <c r="B38" s="3499"/>
      <c r="C38" s="1127" t="s">
        <v>1485</v>
      </c>
      <c r="D38" s="1128"/>
      <c r="E38" s="1150">
        <v>1</v>
      </c>
      <c r="F38" s="1129" t="s">
        <v>1486</v>
      </c>
      <c r="G38" s="1130"/>
      <c r="H38" s="1101"/>
      <c r="I38" s="1101"/>
    </row>
    <row r="39" spans="1:9" s="1584" customFormat="1" ht="19.5" customHeight="1">
      <c r="A39" s="3499"/>
      <c r="B39" s="3499"/>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99" t="s">
        <v>1501</v>
      </c>
      <c r="C61" s="1064" t="s">
        <v>1502</v>
      </c>
      <c r="D61" s="1064" t="s">
        <v>1503</v>
      </c>
      <c r="E61" s="1135">
        <v>0.5</v>
      </c>
      <c r="F61" s="1150">
        <v>80</v>
      </c>
      <c r="H61" s="1101">
        <f>SUMIF(C59:C119,基准地价!C8,E59:E119)</f>
        <v>0</v>
      </c>
    </row>
    <row r="62" spans="1:8" s="1101" customFormat="1" ht="24">
      <c r="A62" s="1150">
        <v>2</v>
      </c>
      <c r="B62" s="3499"/>
      <c r="C62" s="1064" t="s">
        <v>1504</v>
      </c>
      <c r="D62" s="1064" t="s">
        <v>1505</v>
      </c>
      <c r="E62" s="1135">
        <v>0.5</v>
      </c>
      <c r="F62" s="1150">
        <v>80</v>
      </c>
    </row>
    <row r="63" spans="1:8" s="1101" customFormat="1" ht="36">
      <c r="A63" s="1150">
        <v>3</v>
      </c>
      <c r="B63" s="3499"/>
      <c r="C63" s="1064" t="s">
        <v>1506</v>
      </c>
      <c r="D63" s="1064" t="s">
        <v>1507</v>
      </c>
      <c r="E63" s="1135">
        <v>0.5</v>
      </c>
      <c r="F63" s="1150">
        <v>80</v>
      </c>
    </row>
    <row r="64" spans="1:8" s="1101" customFormat="1" ht="36">
      <c r="A64" s="1150">
        <v>4</v>
      </c>
      <c r="B64" s="3499"/>
      <c r="C64" s="1064" t="s">
        <v>1508</v>
      </c>
      <c r="D64" s="1064" t="s">
        <v>1509</v>
      </c>
      <c r="E64" s="1135">
        <v>0.4</v>
      </c>
      <c r="F64" s="1150">
        <v>60</v>
      </c>
    </row>
    <row r="65" spans="1:6" s="1101" customFormat="1" ht="36">
      <c r="A65" s="1150">
        <v>5</v>
      </c>
      <c r="B65" s="3499"/>
      <c r="C65" s="1064" t="s">
        <v>1510</v>
      </c>
      <c r="D65" s="1064" t="s">
        <v>1511</v>
      </c>
      <c r="E65" s="1135">
        <v>0.2</v>
      </c>
      <c r="F65" s="1150">
        <v>30</v>
      </c>
    </row>
    <row r="66" spans="1:6" s="1101" customFormat="1" ht="36">
      <c r="A66" s="1150">
        <v>6</v>
      </c>
      <c r="B66" s="3499"/>
      <c r="C66" s="1064" t="s">
        <v>1512</v>
      </c>
      <c r="D66" s="1064" t="s">
        <v>1513</v>
      </c>
      <c r="E66" s="1135">
        <v>0.3</v>
      </c>
      <c r="F66" s="1150">
        <v>50</v>
      </c>
    </row>
    <row r="67" spans="1:6" s="1101" customFormat="1" ht="36">
      <c r="A67" s="1150">
        <v>7</v>
      </c>
      <c r="B67" s="3499"/>
      <c r="C67" s="1064" t="s">
        <v>1514</v>
      </c>
      <c r="D67" s="1064" t="s">
        <v>1515</v>
      </c>
      <c r="E67" s="1135">
        <v>0.2</v>
      </c>
      <c r="F67" s="1150">
        <v>30</v>
      </c>
    </row>
    <row r="68" spans="1:6" s="1101" customFormat="1" ht="36">
      <c r="A68" s="1150">
        <v>8</v>
      </c>
      <c r="B68" s="3499"/>
      <c r="C68" s="1064" t="s">
        <v>1516</v>
      </c>
      <c r="D68" s="1064" t="s">
        <v>1517</v>
      </c>
      <c r="E68" s="1135">
        <v>0.2</v>
      </c>
      <c r="F68" s="1150">
        <v>30</v>
      </c>
    </row>
    <row r="69" spans="1:6" s="1101" customFormat="1" ht="36">
      <c r="A69" s="1150">
        <v>9</v>
      </c>
      <c r="B69" s="3499"/>
      <c r="C69" s="1064" t="s">
        <v>1518</v>
      </c>
      <c r="D69" s="1064" t="s">
        <v>1519</v>
      </c>
      <c r="E69" s="1135">
        <v>0.2</v>
      </c>
      <c r="F69" s="1150">
        <v>30</v>
      </c>
    </row>
    <row r="70" spans="1:6" s="1101" customFormat="1" ht="48">
      <c r="A70" s="1150">
        <v>10</v>
      </c>
      <c r="B70" s="3499"/>
      <c r="C70" s="1064" t="s">
        <v>1520</v>
      </c>
      <c r="D70" s="1064" t="s">
        <v>1521</v>
      </c>
      <c r="E70" s="1135">
        <v>0.2</v>
      </c>
      <c r="F70" s="1150">
        <v>30</v>
      </c>
    </row>
    <row r="71" spans="1:6" s="1101" customFormat="1" ht="48">
      <c r="A71" s="1150">
        <v>11</v>
      </c>
      <c r="B71" s="3499"/>
      <c r="C71" s="1064" t="s">
        <v>1522</v>
      </c>
      <c r="D71" s="1064" t="s">
        <v>1523</v>
      </c>
      <c r="E71" s="1135">
        <v>0.2</v>
      </c>
      <c r="F71" s="1150">
        <v>30</v>
      </c>
    </row>
    <row r="72" spans="1:6" s="1101" customFormat="1" ht="36">
      <c r="A72" s="1150">
        <v>12</v>
      </c>
      <c r="B72" s="3499"/>
      <c r="C72" s="1064" t="s">
        <v>1524</v>
      </c>
      <c r="D72" s="1064" t="s">
        <v>1525</v>
      </c>
      <c r="E72" s="1135">
        <v>0.5</v>
      </c>
      <c r="F72" s="1150">
        <v>80</v>
      </c>
    </row>
    <row r="73" spans="1:6" s="1101" customFormat="1" ht="24">
      <c r="A73" s="1150">
        <v>13</v>
      </c>
      <c r="B73" s="3499"/>
      <c r="C73" s="1064" t="s">
        <v>1526</v>
      </c>
      <c r="D73" s="1064" t="s">
        <v>1527</v>
      </c>
      <c r="E73" s="1135">
        <v>0.4</v>
      </c>
      <c r="F73" s="1150">
        <v>60</v>
      </c>
    </row>
    <row r="74" spans="1:6" s="1101" customFormat="1" ht="24">
      <c r="A74" s="1150">
        <v>14</v>
      </c>
      <c r="B74" s="3499"/>
      <c r="C74" s="1064" t="s">
        <v>1528</v>
      </c>
      <c r="D74" s="1064" t="s">
        <v>1529</v>
      </c>
      <c r="E74" s="1135">
        <v>0.2</v>
      </c>
      <c r="F74" s="1150">
        <v>30</v>
      </c>
    </row>
    <row r="75" spans="1:6" s="1101" customFormat="1" ht="24">
      <c r="A75" s="1150">
        <v>15</v>
      </c>
      <c r="B75" s="3499"/>
      <c r="C75" s="1064" t="s">
        <v>1530</v>
      </c>
      <c r="D75" s="1064" t="s">
        <v>1531</v>
      </c>
      <c r="E75" s="1135">
        <v>0.2</v>
      </c>
      <c r="F75" s="1150">
        <v>30</v>
      </c>
    </row>
    <row r="76" spans="1:6" s="1101" customFormat="1" ht="24">
      <c r="A76" s="1150">
        <v>16</v>
      </c>
      <c r="B76" s="3499" t="s">
        <v>1532</v>
      </c>
      <c r="C76" s="1064" t="s">
        <v>1533</v>
      </c>
      <c r="D76" s="1064" t="s">
        <v>1534</v>
      </c>
      <c r="E76" s="1135">
        <v>0.5</v>
      </c>
      <c r="F76" s="1150">
        <v>80</v>
      </c>
    </row>
    <row r="77" spans="1:6" s="1101" customFormat="1" ht="24">
      <c r="A77" s="1150">
        <v>17</v>
      </c>
      <c r="B77" s="3499"/>
      <c r="C77" s="1064" t="s">
        <v>1535</v>
      </c>
      <c r="D77" s="1064" t="s">
        <v>1536</v>
      </c>
      <c r="E77" s="1135">
        <v>0.5</v>
      </c>
      <c r="F77" s="1150">
        <v>80</v>
      </c>
    </row>
    <row r="78" spans="1:6" s="1101" customFormat="1" ht="24">
      <c r="A78" s="1150">
        <v>18</v>
      </c>
      <c r="B78" s="3499"/>
      <c r="C78" s="1064" t="s">
        <v>1537</v>
      </c>
      <c r="D78" s="1064" t="s">
        <v>1538</v>
      </c>
      <c r="E78" s="1135">
        <v>0.2</v>
      </c>
      <c r="F78" s="1150">
        <v>30</v>
      </c>
    </row>
    <row r="79" spans="1:6" s="1101" customFormat="1" ht="24">
      <c r="A79" s="1150">
        <v>19</v>
      </c>
      <c r="B79" s="3499"/>
      <c r="C79" s="1064" t="s">
        <v>1539</v>
      </c>
      <c r="D79" s="1064" t="s">
        <v>1540</v>
      </c>
      <c r="E79" s="1135">
        <v>0.5</v>
      </c>
      <c r="F79" s="1150">
        <v>80</v>
      </c>
    </row>
    <row r="80" spans="1:6" s="1101" customFormat="1" ht="36">
      <c r="A80" s="1150">
        <v>20</v>
      </c>
      <c r="B80" s="3499"/>
      <c r="C80" s="1064" t="s">
        <v>1541</v>
      </c>
      <c r="D80" s="1064" t="s">
        <v>1542</v>
      </c>
      <c r="E80" s="1135">
        <v>0.2</v>
      </c>
      <c r="F80" s="1150">
        <v>30</v>
      </c>
    </row>
    <row r="81" spans="1:6" s="1101" customFormat="1" ht="36">
      <c r="A81" s="1150">
        <v>21</v>
      </c>
      <c r="B81" s="3499"/>
      <c r="C81" s="1064" t="s">
        <v>1543</v>
      </c>
      <c r="D81" s="1064" t="s">
        <v>1544</v>
      </c>
      <c r="E81" s="1135">
        <v>0.2</v>
      </c>
      <c r="F81" s="1150">
        <v>30</v>
      </c>
    </row>
    <row r="82" spans="1:6" s="1101" customFormat="1" ht="48">
      <c r="A82" s="1150">
        <v>22</v>
      </c>
      <c r="B82" s="3499"/>
      <c r="C82" s="1064" t="s">
        <v>1545</v>
      </c>
      <c r="D82" s="1064" t="s">
        <v>1546</v>
      </c>
      <c r="E82" s="1135">
        <v>0.2</v>
      </c>
      <c r="F82" s="1150">
        <v>30</v>
      </c>
    </row>
    <row r="83" spans="1:6" s="1101" customFormat="1" ht="48">
      <c r="A83" s="1150">
        <v>23</v>
      </c>
      <c r="B83" s="3499"/>
      <c r="C83" s="1064" t="s">
        <v>1547</v>
      </c>
      <c r="D83" s="1064" t="s">
        <v>1548</v>
      </c>
      <c r="E83" s="1135">
        <v>0.2</v>
      </c>
      <c r="F83" s="1150">
        <v>30</v>
      </c>
    </row>
    <row r="84" spans="1:6" s="1101" customFormat="1" ht="36">
      <c r="A84" s="1150">
        <v>24</v>
      </c>
      <c r="B84" s="3499"/>
      <c r="C84" s="1064" t="s">
        <v>1549</v>
      </c>
      <c r="D84" s="1064" t="s">
        <v>1550</v>
      </c>
      <c r="E84" s="1135">
        <v>0.2</v>
      </c>
      <c r="F84" s="1150">
        <v>30</v>
      </c>
    </row>
    <row r="85" spans="1:6" s="1101" customFormat="1" ht="36">
      <c r="A85" s="1150">
        <v>25</v>
      </c>
      <c r="B85" s="3499"/>
      <c r="C85" s="1064" t="s">
        <v>1551</v>
      </c>
      <c r="D85" s="1064" t="s">
        <v>1552</v>
      </c>
      <c r="E85" s="1135">
        <v>0.5</v>
      </c>
      <c r="F85" s="1150">
        <v>80</v>
      </c>
    </row>
    <row r="86" spans="1:6" s="1101" customFormat="1" ht="36">
      <c r="A86" s="1150">
        <v>26</v>
      </c>
      <c r="B86" s="3499"/>
      <c r="C86" s="1064" t="s">
        <v>1553</v>
      </c>
      <c r="D86" s="1064" t="s">
        <v>1554</v>
      </c>
      <c r="E86" s="1135">
        <v>0.2</v>
      </c>
      <c r="F86" s="1150">
        <v>30</v>
      </c>
    </row>
    <row r="87" spans="1:6" s="1101" customFormat="1" ht="36">
      <c r="A87" s="1150">
        <v>27</v>
      </c>
      <c r="B87" s="3499"/>
      <c r="C87" s="1064" t="s">
        <v>1555</v>
      </c>
      <c r="D87" s="1064" t="s">
        <v>1556</v>
      </c>
      <c r="E87" s="1135">
        <v>0.2</v>
      </c>
      <c r="F87" s="1150">
        <v>30</v>
      </c>
    </row>
    <row r="88" spans="1:6" s="1101" customFormat="1" ht="36">
      <c r="A88" s="1150">
        <v>28</v>
      </c>
      <c r="B88" s="3499"/>
      <c r="C88" s="1064" t="s">
        <v>1557</v>
      </c>
      <c r="D88" s="1064" t="s">
        <v>1558</v>
      </c>
      <c r="E88" s="1135">
        <v>0.2</v>
      </c>
      <c r="F88" s="1150">
        <v>30</v>
      </c>
    </row>
    <row r="89" spans="1:6" s="1101" customFormat="1" ht="24">
      <c r="A89" s="1150">
        <v>29</v>
      </c>
      <c r="B89" s="3499"/>
      <c r="C89" s="1064" t="s">
        <v>1559</v>
      </c>
      <c r="D89" s="1064" t="s">
        <v>1560</v>
      </c>
      <c r="E89" s="1135">
        <v>0.2</v>
      </c>
      <c r="F89" s="1150">
        <v>30</v>
      </c>
    </row>
    <row r="90" spans="1:6" s="1101" customFormat="1" ht="24">
      <c r="A90" s="1150">
        <v>30</v>
      </c>
      <c r="B90" s="3499"/>
      <c r="C90" s="1064" t="s">
        <v>1561</v>
      </c>
      <c r="D90" s="1064" t="s">
        <v>1562</v>
      </c>
      <c r="E90" s="1135">
        <v>0.2</v>
      </c>
      <c r="F90" s="1150">
        <v>30</v>
      </c>
    </row>
    <row r="91" spans="1:6" s="1101" customFormat="1" ht="36">
      <c r="A91" s="1150">
        <v>31</v>
      </c>
      <c r="B91" s="3499"/>
      <c r="C91" s="1064" t="s">
        <v>1563</v>
      </c>
      <c r="D91" s="1064" t="s">
        <v>1564</v>
      </c>
      <c r="E91" s="1135">
        <v>0.2</v>
      </c>
      <c r="F91" s="1150">
        <v>30</v>
      </c>
    </row>
    <row r="92" spans="1:6" s="1101" customFormat="1" ht="24">
      <c r="A92" s="1150">
        <v>32</v>
      </c>
      <c r="B92" s="3499" t="s">
        <v>1565</v>
      </c>
      <c r="C92" s="1150" t="s">
        <v>1566</v>
      </c>
      <c r="D92" s="1064" t="s">
        <v>1567</v>
      </c>
      <c r="E92" s="1135">
        <v>0.2</v>
      </c>
      <c r="F92" s="1150">
        <v>30</v>
      </c>
    </row>
    <row r="93" spans="1:6" s="1101" customFormat="1" ht="36">
      <c r="A93" s="1150">
        <v>33</v>
      </c>
      <c r="B93" s="3499"/>
      <c r="C93" s="1150" t="s">
        <v>1568</v>
      </c>
      <c r="D93" s="1064" t="s">
        <v>1569</v>
      </c>
      <c r="E93" s="1135">
        <v>0.2</v>
      </c>
      <c r="F93" s="1150">
        <v>30</v>
      </c>
    </row>
    <row r="94" spans="1:6" s="1101" customFormat="1" ht="48">
      <c r="A94" s="1150">
        <v>34</v>
      </c>
      <c r="B94" s="3499"/>
      <c r="C94" s="1150" t="s">
        <v>1570</v>
      </c>
      <c r="D94" s="1064" t="s">
        <v>1571</v>
      </c>
      <c r="E94" s="1135">
        <v>0.2</v>
      </c>
      <c r="F94" s="1150">
        <v>30</v>
      </c>
    </row>
    <row r="95" spans="1:6" s="1101" customFormat="1" ht="36">
      <c r="A95" s="1150">
        <v>35</v>
      </c>
      <c r="B95" s="3499"/>
      <c r="C95" s="1150" t="s">
        <v>1572</v>
      </c>
      <c r="D95" s="1064" t="s">
        <v>1573</v>
      </c>
      <c r="E95" s="1135">
        <v>0.2</v>
      </c>
      <c r="F95" s="1150">
        <v>30</v>
      </c>
    </row>
    <row r="96" spans="1:6" s="1101" customFormat="1" ht="48">
      <c r="A96" s="1150">
        <v>36</v>
      </c>
      <c r="B96" s="3499"/>
      <c r="C96" s="1064" t="s">
        <v>1574</v>
      </c>
      <c r="D96" s="1064" t="s">
        <v>1575</v>
      </c>
      <c r="E96" s="1135">
        <v>0.2</v>
      </c>
      <c r="F96" s="1150">
        <v>30</v>
      </c>
    </row>
    <row r="97" spans="1:6" s="1101" customFormat="1" ht="36">
      <c r="A97" s="1150">
        <v>37</v>
      </c>
      <c r="B97" s="3499"/>
      <c r="C97" s="1150" t="s">
        <v>1576</v>
      </c>
      <c r="D97" s="1064" t="s">
        <v>1577</v>
      </c>
      <c r="E97" s="1135">
        <v>0.2</v>
      </c>
      <c r="F97" s="1150">
        <v>30</v>
      </c>
    </row>
    <row r="98" spans="1:6" s="1101" customFormat="1" ht="36">
      <c r="A98" s="1150">
        <v>38</v>
      </c>
      <c r="B98" s="3499"/>
      <c r="C98" s="1150" t="s">
        <v>1578</v>
      </c>
      <c r="D98" s="1064" t="s">
        <v>1579</v>
      </c>
      <c r="E98" s="1135">
        <v>0.2</v>
      </c>
      <c r="F98" s="1150">
        <v>30</v>
      </c>
    </row>
    <row r="99" spans="1:6" s="1101" customFormat="1" ht="36">
      <c r="A99" s="1150">
        <v>39</v>
      </c>
      <c r="B99" s="3499" t="s">
        <v>1580</v>
      </c>
      <c r="C99" s="1150" t="s">
        <v>1581</v>
      </c>
      <c r="D99" s="1064" t="s">
        <v>1582</v>
      </c>
      <c r="E99" s="1135">
        <v>0.3</v>
      </c>
      <c r="F99" s="1150">
        <v>50</v>
      </c>
    </row>
    <row r="100" spans="1:6" s="1101" customFormat="1" ht="24">
      <c r="A100" s="1150">
        <v>40</v>
      </c>
      <c r="B100" s="3499"/>
      <c r="C100" s="1150" t="s">
        <v>1583</v>
      </c>
      <c r="D100" s="1064" t="s">
        <v>1584</v>
      </c>
      <c r="E100" s="1135">
        <v>0.2</v>
      </c>
      <c r="F100" s="1150">
        <v>30</v>
      </c>
    </row>
    <row r="101" spans="1:6" s="1101" customFormat="1" ht="36">
      <c r="A101" s="1150">
        <v>41</v>
      </c>
      <c r="B101" s="349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99" t="s">
        <v>1595</v>
      </c>
      <c r="C105" s="1150" t="s">
        <v>1596</v>
      </c>
      <c r="D105" s="1064" t="s">
        <v>1597</v>
      </c>
      <c r="E105" s="1135">
        <v>0.2</v>
      </c>
      <c r="F105" s="1150">
        <v>30</v>
      </c>
    </row>
    <row r="106" spans="1:6" s="1101" customFormat="1" ht="36">
      <c r="A106" s="1150">
        <v>46</v>
      </c>
      <c r="B106" s="3499"/>
      <c r="C106" s="1150" t="s">
        <v>1598</v>
      </c>
      <c r="D106" s="1064" t="s">
        <v>1599</v>
      </c>
      <c r="E106" s="1135">
        <v>0.2</v>
      </c>
      <c r="F106" s="1150">
        <v>30</v>
      </c>
    </row>
    <row r="107" spans="1:6" s="1101" customFormat="1" ht="36">
      <c r="A107" s="1150">
        <v>47</v>
      </c>
      <c r="B107" s="3499" t="s">
        <v>1600</v>
      </c>
      <c r="C107" s="1150" t="s">
        <v>1601</v>
      </c>
      <c r="D107" s="1064" t="s">
        <v>1602</v>
      </c>
      <c r="E107" s="1135">
        <v>0.3</v>
      </c>
      <c r="F107" s="1150">
        <v>50</v>
      </c>
    </row>
    <row r="108" spans="1:6" s="1101" customFormat="1" ht="36">
      <c r="A108" s="1150">
        <v>48</v>
      </c>
      <c r="B108" s="349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99" t="s">
        <v>1611</v>
      </c>
      <c r="C111" s="1150" t="s">
        <v>1612</v>
      </c>
      <c r="D111" s="1064" t="s">
        <v>1613</v>
      </c>
      <c r="E111" s="1135">
        <v>0.2</v>
      </c>
      <c r="F111" s="1150">
        <v>30</v>
      </c>
    </row>
    <row r="112" spans="1:6" s="1101" customFormat="1" ht="24">
      <c r="A112" s="1150">
        <v>52</v>
      </c>
      <c r="B112" s="3499"/>
      <c r="C112" s="1150" t="s">
        <v>1614</v>
      </c>
      <c r="D112" s="1064" t="s">
        <v>1615</v>
      </c>
      <c r="E112" s="1135">
        <v>0.2</v>
      </c>
      <c r="F112" s="1150">
        <v>30</v>
      </c>
    </row>
    <row r="113" spans="1:14" s="1101" customFormat="1" ht="24">
      <c r="A113" s="1150">
        <v>53</v>
      </c>
      <c r="B113" s="349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99" t="s">
        <v>1624</v>
      </c>
      <c r="C116" s="1150" t="s">
        <v>1625</v>
      </c>
      <c r="D116" s="1064" t="s">
        <v>1626</v>
      </c>
      <c r="E116" s="1135">
        <v>0.2</v>
      </c>
      <c r="F116" s="1150">
        <v>30</v>
      </c>
    </row>
    <row r="117" spans="1:14" ht="36">
      <c r="A117" s="1150">
        <v>57</v>
      </c>
      <c r="B117" s="349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98" t="s">
        <v>1633</v>
      </c>
      <c r="B121" s="3498"/>
      <c r="C121" s="3498"/>
      <c r="D121" s="3498"/>
      <c r="E121" s="3498"/>
      <c r="F121" s="3498"/>
      <c r="G121" s="3498"/>
      <c r="H121" s="3498"/>
      <c r="I121" s="3498"/>
      <c r="J121" s="349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03" t="s">
        <v>1039</v>
      </c>
      <c r="B1" s="3503"/>
      <c r="C1" s="3503"/>
      <c r="D1" s="3503"/>
      <c r="E1" s="3503"/>
      <c r="F1" s="350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04" t="s">
        <v>1052</v>
      </c>
      <c r="B2" s="3504"/>
      <c r="C2" s="3504"/>
      <c r="D2" s="3504"/>
      <c r="E2" s="3504"/>
      <c r="F2" s="350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0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0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07" t="s">
        <v>2079</v>
      </c>
      <c r="B1" s="3507"/>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15" t="s">
        <v>2575</v>
      </c>
      <c r="C1" s="3515"/>
      <c r="D1" s="3515"/>
      <c r="E1" s="3515"/>
      <c r="F1" s="3515"/>
      <c r="G1" s="3514" t="s">
        <v>2576</v>
      </c>
      <c r="H1" s="3514"/>
      <c r="I1" s="3514"/>
      <c r="J1" s="3514"/>
      <c r="K1" s="3514"/>
      <c r="L1" s="3514"/>
      <c r="N1" s="3514" t="s">
        <v>2577</v>
      </c>
      <c r="O1" s="3514"/>
      <c r="P1" s="3514"/>
      <c r="Q1" s="3514"/>
      <c r="R1" s="2617"/>
      <c r="S1" s="3514" t="s">
        <v>2578</v>
      </c>
      <c r="T1" s="3514"/>
      <c r="U1" s="3514"/>
      <c r="V1" s="3514"/>
      <c r="X1" s="3513" t="s">
        <v>2638</v>
      </c>
      <c r="Y1" s="3514"/>
      <c r="Z1" s="3514"/>
      <c r="AA1" s="3514"/>
      <c r="AB1" s="3514"/>
      <c r="AD1" s="3513" t="s">
        <v>2642</v>
      </c>
      <c r="AE1" s="3514"/>
      <c r="AF1" s="3514"/>
      <c r="AG1" s="3514"/>
      <c r="AH1" s="3514"/>
    </row>
    <row r="2" spans="1:34" s="2718" customFormat="1" ht="14.25" thickBot="1">
      <c r="B2" s="2726" t="s">
        <v>2579</v>
      </c>
      <c r="C2" s="2726" t="s">
        <v>2640</v>
      </c>
      <c r="D2" s="2719" t="s">
        <v>1644</v>
      </c>
      <c r="E2" s="2719" t="s">
        <v>1949</v>
      </c>
      <c r="F2" s="2726" t="s">
        <v>2641</v>
      </c>
      <c r="G2" s="2722"/>
      <c r="H2" s="2721"/>
      <c r="I2" s="2726" t="s">
        <v>2955</v>
      </c>
      <c r="J2" s="2719" t="s">
        <v>2957</v>
      </c>
      <c r="K2" s="2719" t="s">
        <v>2958</v>
      </c>
      <c r="L2" s="2726" t="s">
        <v>2959</v>
      </c>
      <c r="N2" s="2726" t="s">
        <v>2579</v>
      </c>
      <c r="O2" s="2719" t="s">
        <v>2956</v>
      </c>
      <c r="P2" s="2719" t="s">
        <v>1949</v>
      </c>
      <c r="Q2" s="2726" t="s">
        <v>2641</v>
      </c>
      <c r="R2" s="2720"/>
      <c r="S2" s="2726" t="s">
        <v>2579</v>
      </c>
      <c r="T2" s="2719" t="s">
        <v>2956</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2" customFormat="1" ht="14.25">
      <c r="A3" s="3094" t="s">
        <v>2968</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2991</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2969</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2992</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2988</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09">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2978</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09"/>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2979</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09"/>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2975</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10"/>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2966</v>
      </c>
      <c r="B11" s="3096">
        <v>439</v>
      </c>
      <c r="C11" s="3096">
        <v>327</v>
      </c>
      <c r="D11" s="3096">
        <f t="shared" si="54"/>
        <v>327</v>
      </c>
      <c r="E11" s="3096">
        <v>627</v>
      </c>
      <c r="F11" s="3097">
        <v>283</v>
      </c>
      <c r="G11" s="3508">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2970</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09"/>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509"/>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510"/>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08">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09"/>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09"/>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12"/>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11">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09"/>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09"/>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12"/>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11">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09"/>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09"/>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12"/>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516">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17"/>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517"/>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518"/>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511">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509"/>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509"/>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512"/>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511">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09">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509">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512">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511">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09">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509">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512">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511">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09">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509">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512">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511">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09">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509">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512">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511">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09">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509">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512">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511">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09">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509">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512">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511">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09">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509">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512">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511">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09">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509">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512">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511">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509">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509">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512">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511">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509">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509">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512">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7" sqref="J5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2373</v>
      </c>
      <c r="F1" s="2351">
        <f ca="1">J54</f>
        <v>-5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7"/>
      <c r="D2" s="2039"/>
      <c r="E2" s="2040"/>
      <c r="F2" s="2040"/>
      <c r="G2" s="1576"/>
      <c r="H2" s="1359"/>
      <c r="I2" s="2041"/>
      <c r="J2" s="2041"/>
      <c r="K2" s="2042"/>
      <c r="L2" s="2041"/>
      <c r="M2" s="2041"/>
    </row>
    <row r="3" spans="1:25" ht="18" customHeight="1">
      <c r="A3" s="1630" t="s">
        <v>1686</v>
      </c>
      <c r="B3" s="1387">
        <f ca="1">ROUND(B2*10000/'数据-汇总表'!E3,0)</f>
        <v>0</v>
      </c>
      <c r="C3" s="1347"/>
      <c r="D3" s="2039"/>
      <c r="E3" s="2040"/>
      <c r="F3" s="2040"/>
      <c r="G3" s="1576"/>
      <c r="H3" s="776" t="s">
        <v>695</v>
      </c>
      <c r="I3" s="2041"/>
      <c r="J3" s="2041"/>
      <c r="K3" s="2042"/>
      <c r="L3" s="2041"/>
      <c r="M3" s="2041"/>
    </row>
    <row r="4" spans="1:25" ht="18" customHeight="1">
      <c r="A4" s="1631" t="s">
        <v>696</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4" t="s">
        <v>1824</v>
      </c>
      <c r="B8" s="3520" t="s">
        <v>2462</v>
      </c>
      <c r="C8" s="1809">
        <f ca="1">ROUND(F8*F10*F9*(1-F11)/10000,0)</f>
        <v>0</v>
      </c>
      <c r="D8" s="1806" t="s">
        <v>2533</v>
      </c>
      <c r="E8" s="61" t="s">
        <v>637</v>
      </c>
      <c r="F8" s="785">
        <f ca="1">INDIRECT("'数据-取费表'!u"&amp;$G$1)</f>
        <v>0</v>
      </c>
      <c r="G8" s="1578"/>
      <c r="H8" s="2467" t="s">
        <v>1824</v>
      </c>
      <c r="I8" s="3520" t="s">
        <v>2462</v>
      </c>
      <c r="J8" s="783">
        <f ca="1">ROUND(M8*M10*M9*(1-M11)/10000,0)</f>
        <v>0</v>
      </c>
      <c r="K8" s="341" t="s">
        <v>2533</v>
      </c>
      <c r="L8" s="784" t="s">
        <v>1738</v>
      </c>
      <c r="M8" s="785">
        <f ca="1">INDIRECT("'数据-取费表'!z"&amp;$G$1)</f>
        <v>0</v>
      </c>
    </row>
    <row r="9" spans="1:25" ht="18" customHeight="1">
      <c r="A9" s="2463"/>
      <c r="B9" s="3521"/>
      <c r="C9" s="1810"/>
      <c r="D9" s="1807"/>
      <c r="E9" s="61" t="s">
        <v>638</v>
      </c>
      <c r="F9" s="785">
        <f ca="1">IF(INDIRECT("'数据-取费表'!ah"&amp;$G$1)="",INDIRECT("'数据-取费表'!k"&amp;$G$1),INDIRECT("'数据-取费表'!ah"&amp;$G$1))</f>
        <v>0</v>
      </c>
      <c r="G9" s="1578"/>
      <c r="H9" s="2452"/>
      <c r="I9" s="3521"/>
      <c r="J9" s="788"/>
      <c r="K9" s="789"/>
      <c r="L9" s="784" t="s">
        <v>1739</v>
      </c>
      <c r="M9" s="785">
        <f ca="1">F9</f>
        <v>0</v>
      </c>
    </row>
    <row r="10" spans="1:25" ht="18" customHeight="1">
      <c r="A10" s="2456"/>
      <c r="B10" s="3522"/>
      <c r="C10" s="1810"/>
      <c r="D10" s="1807"/>
      <c r="E10" s="61" t="s">
        <v>639</v>
      </c>
      <c r="F10" s="785">
        <f ca="1">INDIRECT("'数据-取费表'!ai"&amp;$G$1)</f>
        <v>0</v>
      </c>
      <c r="G10" s="1578"/>
      <c r="H10" s="2452"/>
      <c r="I10" s="3522"/>
      <c r="J10" s="788"/>
      <c r="K10" s="789"/>
      <c r="L10" s="784" t="s">
        <v>1740</v>
      </c>
      <c r="M10" s="785">
        <f ca="1">INDIRECT("'数据-取费表'!ai"&amp;$G$1)</f>
        <v>0</v>
      </c>
    </row>
    <row r="11" spans="1:25" ht="18" customHeight="1">
      <c r="A11" s="786"/>
      <c r="B11" s="3523"/>
      <c r="C11" s="1810"/>
      <c r="D11" s="1807"/>
      <c r="E11" s="61" t="s">
        <v>640</v>
      </c>
      <c r="F11" s="794">
        <f ca="1">INDIRECT("'数据-取费表'!w"&amp;$G$1)</f>
        <v>0</v>
      </c>
      <c r="G11" s="1578"/>
      <c r="H11" s="2468"/>
      <c r="I11" s="3522"/>
      <c r="J11" s="788"/>
      <c r="K11" s="789"/>
      <c r="L11" s="795" t="s">
        <v>1741</v>
      </c>
      <c r="M11" s="796">
        <f ca="1">INDIRECT("'数据-取费表'!ab"&amp;$G$1)</f>
        <v>0</v>
      </c>
    </row>
    <row r="12" spans="1:25" ht="18" customHeight="1">
      <c r="A12" s="1814" t="s">
        <v>1825</v>
      </c>
      <c r="B12" s="2457" t="s">
        <v>2458</v>
      </c>
      <c r="C12" s="799">
        <f ca="1">ROUND(IF(F12="押一",C8/12*F13,IF(F12="押二",C8/12*2*F13,IF(F12="押三",C8/12*3*F13,C13*F13))),0)</f>
        <v>0</v>
      </c>
      <c r="D12" s="2464" t="s">
        <v>2973</v>
      </c>
      <c r="E12" s="2461" t="s">
        <v>2463</v>
      </c>
      <c r="F12" s="2584"/>
      <c r="G12" s="1578"/>
      <c r="H12" s="2524" t="s">
        <v>1825</v>
      </c>
      <c r="I12" s="2529" t="s">
        <v>2458</v>
      </c>
      <c r="J12" s="783">
        <f ca="1">ROUND(IF(M12="押一",J8/12*M13,IF(M12="押二",J8/12*2*M13,IF(M12="押三",J8/12*3*M13,J13*M13))),0)</f>
        <v>0</v>
      </c>
      <c r="K12" s="2464" t="s">
        <v>2973</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8"/>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8"/>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9"/>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250</v>
      </c>
      <c r="G19" s="1579"/>
      <c r="H19" s="803" t="s">
        <v>2069</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8"/>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9"/>
      <c r="H22" s="1816" t="s">
        <v>1850</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0.03</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8"/>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5</v>
      </c>
      <c r="G25" s="1579"/>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3.7000000000000002E-3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8"/>
      <c r="H27" s="797" t="s">
        <v>1828</v>
      </c>
      <c r="I27" s="2962" t="s">
        <v>2820</v>
      </c>
      <c r="J27" s="799">
        <f ca="1">J7-J18</f>
        <v>0</v>
      </c>
      <c r="K27" s="1963" t="s">
        <v>700</v>
      </c>
      <c r="L27" s="1965"/>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4</v>
      </c>
      <c r="G36" s="2046"/>
      <c r="H36" s="2049"/>
      <c r="I36" s="3519"/>
      <c r="J36" s="2063"/>
      <c r="K36" s="2064"/>
      <c r="L36" s="2063"/>
      <c r="M36" s="2063"/>
    </row>
    <row r="37" spans="1:18" ht="18" customHeight="1">
      <c r="A37" s="815"/>
      <c r="B37" s="793"/>
      <c r="C37" s="69"/>
      <c r="D37" s="816"/>
      <c r="E37" s="784" t="s">
        <v>674</v>
      </c>
      <c r="F37" s="785">
        <f ca="1">INDIRECT("'数据-取费表'!r"&amp;$G$1)</f>
        <v>0</v>
      </c>
      <c r="G37" s="2046"/>
      <c r="H37" s="2049"/>
      <c r="I37" s="3519"/>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8" t="str">
        <f ca="1">IF(M48="住宅",0,IF(L49&gt;J52,L61,J61))</f>
        <v>0</v>
      </c>
      <c r="O47" s="2357" t="s">
        <v>2409</v>
      </c>
      <c r="P47" s="1578"/>
      <c r="Q47" s="1589"/>
      <c r="R47" s="1578"/>
    </row>
    <row r="48" spans="1:18" s="2043" customFormat="1" ht="18" customHeight="1" thickBot="1">
      <c r="A48" s="2068"/>
      <c r="C48" s="2071"/>
      <c r="D48" s="2072"/>
      <c r="E48" s="2072"/>
      <c r="F48" s="2073"/>
      <c r="G48" s="2074"/>
      <c r="I48" s="3098" t="s">
        <v>2343</v>
      </c>
      <c r="J48" s="2344"/>
      <c r="K48" s="3105" t="s">
        <v>2348</v>
      </c>
      <c r="L48" s="3109">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6"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7"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7"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10">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2977</v>
      </c>
      <c r="J54" s="3104">
        <f ca="1">IF(M48="住宅",MAX(J52,L49-'数据-取费表'!B20),MIN(J52,L49-'数据-取费表'!B20))</f>
        <v>-5</v>
      </c>
      <c r="K54" s="3524"/>
      <c r="L54" s="3525"/>
      <c r="O54" s="2364" t="s">
        <v>2387</v>
      </c>
      <c r="P54" s="2362" t="s">
        <v>2388</v>
      </c>
      <c r="Q54" s="2363">
        <f ca="1">J54</f>
        <v>-5</v>
      </c>
      <c r="R54" s="2362" t="s">
        <v>2389</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2390</v>
      </c>
      <c r="P55" s="2362" t="s">
        <v>2407</v>
      </c>
      <c r="Q55" s="2363">
        <f ca="1">Q49+Q50</f>
        <v>0</v>
      </c>
      <c r="R55" s="2366" t="s">
        <v>2391</v>
      </c>
    </row>
    <row r="56" spans="1:18" s="2043" customFormat="1" ht="16.5" thickBot="1">
      <c r="A56" s="2080"/>
      <c r="B56" s="2081"/>
      <c r="C56" s="2081"/>
      <c r="I56" s="3113" t="s">
        <v>2354</v>
      </c>
      <c r="J56" s="3052" t="e">
        <f ca="1">ROUND(IF(J48="钢混",J58/J51,1-(1-2%)*(J51-J58)/J51),3)</f>
        <v>#VALUE!</v>
      </c>
      <c r="K56" s="3114" t="s">
        <v>2355</v>
      </c>
      <c r="L56" s="2349"/>
      <c r="O56" s="2367" t="s">
        <v>2410</v>
      </c>
      <c r="P56" s="1578"/>
      <c r="Q56" s="1589"/>
      <c r="R56" s="1578"/>
    </row>
    <row r="57" spans="1:18" s="2043" customFormat="1" ht="43.5" thickBot="1">
      <c r="A57" s="2080"/>
      <c r="B57" s="2081"/>
      <c r="C57" s="2081"/>
      <c r="I57" s="3115" t="s">
        <v>2356</v>
      </c>
      <c r="J57" s="3125" t="s">
        <v>1678</v>
      </c>
      <c r="K57" s="3077" t="s">
        <v>2361</v>
      </c>
      <c r="L57" s="1892">
        <f ca="1">IF(L49&lt;J52,"——",L49-J52)</f>
        <v>0</v>
      </c>
      <c r="O57" s="2358" t="s">
        <v>2374</v>
      </c>
      <c r="P57" s="2359" t="s">
        <v>2375</v>
      </c>
      <c r="Q57" s="2360" t="s">
        <v>2376</v>
      </c>
      <c r="R57" s="2359" t="s">
        <v>2377</v>
      </c>
    </row>
    <row r="58" spans="1:18" s="2043" customFormat="1" ht="29.25" thickBot="1">
      <c r="A58" s="2080"/>
      <c r="B58" s="2081"/>
      <c r="C58" s="2081"/>
      <c r="I58" s="3116" t="s">
        <v>2357</v>
      </c>
      <c r="J58" s="3117"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6"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6" t="s">
        <v>2359</v>
      </c>
      <c r="J60" s="3117"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8" t="s">
        <v>2360</v>
      </c>
      <c r="J61" s="3119" t="str">
        <f ca="1">IF(OR(M48="住宅",J52&lt;L49,J57="是"),"0",ROUND(J60/(1+J53)^J54,0))</f>
        <v>0</v>
      </c>
      <c r="K61" s="3120" t="s">
        <v>2365</v>
      </c>
      <c r="L61" s="3119"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1" t="s">
        <v>2366</v>
      </c>
      <c r="J63" s="3122" t="s">
        <v>2367</v>
      </c>
      <c r="K63" s="3122" t="s">
        <v>2368</v>
      </c>
      <c r="L63" s="3122" t="s">
        <v>2349</v>
      </c>
      <c r="M63" s="3123" t="s">
        <v>2941</v>
      </c>
      <c r="O63" s="2364" t="s">
        <v>2387</v>
      </c>
      <c r="P63" s="2362" t="s">
        <v>2395</v>
      </c>
      <c r="Q63" s="2363">
        <f ca="1">L60</f>
        <v>0</v>
      </c>
      <c r="R63" s="2366" t="s">
        <v>2396</v>
      </c>
    </row>
    <row r="64" spans="1:18" s="2043" customFormat="1" ht="15.75" thickBot="1">
      <c r="A64" s="2080"/>
      <c r="B64" s="2081"/>
      <c r="C64" s="2081"/>
      <c r="I64" s="3121" t="s">
        <v>2369</v>
      </c>
      <c r="J64" s="3122">
        <v>70</v>
      </c>
      <c r="K64" s="3122">
        <v>50</v>
      </c>
      <c r="L64" s="3122">
        <v>80</v>
      </c>
      <c r="M64" s="3124">
        <v>0.02</v>
      </c>
      <c r="O64" s="2361" t="s">
        <v>2390</v>
      </c>
      <c r="P64" s="2362" t="s">
        <v>2407</v>
      </c>
      <c r="Q64" s="2363" t="e">
        <f ca="1">Q58+Q59</f>
        <v>#DIV/0!</v>
      </c>
      <c r="R64" s="2366" t="s">
        <v>2391</v>
      </c>
    </row>
    <row r="65" spans="1:18" s="2043" customFormat="1" ht="16.5" thickBot="1">
      <c r="A65" s="2080"/>
      <c r="B65" s="2081"/>
      <c r="C65" s="2081"/>
      <c r="I65" s="3121" t="s">
        <v>2370</v>
      </c>
      <c r="J65" s="3122">
        <v>50</v>
      </c>
      <c r="K65" s="3122">
        <v>35</v>
      </c>
      <c r="L65" s="3122">
        <v>60</v>
      </c>
      <c r="M65" s="846">
        <v>0</v>
      </c>
      <c r="O65" s="2367" t="s">
        <v>2414</v>
      </c>
      <c r="P65" s="1578"/>
      <c r="Q65" s="1589"/>
      <c r="R65" s="1578"/>
    </row>
    <row r="66" spans="1:18" s="2043" customFormat="1" ht="15.75" thickBot="1">
      <c r="A66" s="2080"/>
      <c r="B66" s="2081"/>
      <c r="C66" s="2081"/>
      <c r="I66" s="3121" t="s">
        <v>2371</v>
      </c>
      <c r="J66" s="3122">
        <v>40</v>
      </c>
      <c r="K66" s="3122">
        <v>30</v>
      </c>
      <c r="L66" s="3122">
        <v>50</v>
      </c>
      <c r="M66" s="3124">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56.25">
      <c r="A7" s="1779" t="s">
        <v>2745</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本次估价对象为出让国有建设用地使用权，《国有土地使用证》[]证载土地终止日期为住宅2083年9月23日、商业2053年9月23日。截至估价期日，出让国有建设用地使用权剩余土地使用年限为住宅64.4年、商业34.4年。</v>
      </c>
    </row>
    <row r="23" spans="1:1" ht="18.75">
      <c r="A23" s="1775" t="str">
        <f>IF(项目基本情况!B16="出让","本次评估设定估价对象剩余土地使用年限为"&amp;项目基本情况!D20&amp;"。","")</f>
        <v>本次评估设定估价对象剩余土地使用年限为住宅64.4年、商业34.4年。</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topLeftCell="H1" workbookViewId="0">
      <selection activeCell="L17" sqref="L17"/>
    </sheetView>
  </sheetViews>
  <sheetFormatPr defaultRowHeight="13.5"/>
  <cols>
    <col min="1" max="1" width="62.25" customWidth="1"/>
    <col min="2" max="2" width="0" hidden="1" customWidth="1"/>
    <col min="3" max="3" width="9.75" customWidth="1"/>
    <col min="4" max="4" width="33.375" customWidth="1"/>
    <col min="5" max="6" width="17.75" customWidth="1"/>
    <col min="7" max="7" width="14.5" customWidth="1"/>
    <col min="8" max="8" width="14.375" customWidth="1"/>
    <col min="9" max="9" width="25.375" customWidth="1"/>
    <col min="10" max="10" width="47.875" customWidth="1"/>
    <col min="11" max="11" width="12.875" customWidth="1"/>
    <col min="12" max="12" width="19.375" customWidth="1"/>
    <col min="13" max="13" width="16.75" customWidth="1"/>
    <col min="15" max="15" width="23.625" customWidth="1"/>
  </cols>
  <sheetData>
    <row r="1" spans="1:17" s="3196" customFormat="1" ht="17.25" customHeight="1">
      <c r="A1" s="3196" t="s">
        <v>3391</v>
      </c>
      <c r="B1" s="3196" t="s">
        <v>3390</v>
      </c>
      <c r="C1" s="3196" t="s">
        <v>3389</v>
      </c>
      <c r="D1" s="3196" t="s">
        <v>3388</v>
      </c>
      <c r="E1" s="3196" t="s">
        <v>3387</v>
      </c>
      <c r="F1" s="3196" t="s">
        <v>3386</v>
      </c>
      <c r="G1" s="3196" t="s">
        <v>2032</v>
      </c>
      <c r="H1" s="3196" t="s">
        <v>3385</v>
      </c>
      <c r="I1" s="3196" t="s">
        <v>3384</v>
      </c>
      <c r="J1" s="3196" t="s">
        <v>3383</v>
      </c>
      <c r="K1" s="3196" t="s">
        <v>3382</v>
      </c>
      <c r="L1" s="3196" t="s">
        <v>3381</v>
      </c>
      <c r="M1" s="3196" t="s">
        <v>3380</v>
      </c>
      <c r="N1" s="3196" t="s">
        <v>3379</v>
      </c>
      <c r="O1" s="3196" t="s">
        <v>3378</v>
      </c>
      <c r="P1" s="3196" t="s">
        <v>3377</v>
      </c>
    </row>
    <row r="2" spans="1:17" s="3196" customFormat="1" ht="17.25" customHeight="1">
      <c r="A2" s="3196" t="s">
        <v>3376</v>
      </c>
      <c r="B2" s="3196" t="s">
        <v>3375</v>
      </c>
      <c r="C2" s="3196" t="s">
        <v>3374</v>
      </c>
      <c r="D2" s="3196" t="s">
        <v>2816</v>
      </c>
      <c r="E2" s="3196">
        <v>97953</v>
      </c>
      <c r="F2" s="3196">
        <v>156724</v>
      </c>
      <c r="G2" s="3196" t="s">
        <v>3351</v>
      </c>
      <c r="H2" s="3196" t="s">
        <v>3373</v>
      </c>
      <c r="I2" s="3196" t="s">
        <v>3372</v>
      </c>
      <c r="J2" s="3196" t="s">
        <v>3371</v>
      </c>
      <c r="K2" s="3196">
        <v>73064.72</v>
      </c>
      <c r="L2" s="3196">
        <v>497.28</v>
      </c>
      <c r="M2" s="3196">
        <v>4662</v>
      </c>
      <c r="N2" s="3196">
        <v>0.04</v>
      </c>
      <c r="O2" s="3196" t="s">
        <v>3370</v>
      </c>
      <c r="P2" s="3196" t="s">
        <v>3284</v>
      </c>
    </row>
    <row r="3" spans="1:17" s="3196" customFormat="1" ht="17.25" customHeight="1">
      <c r="A3" s="3196" t="s">
        <v>3369</v>
      </c>
      <c r="B3" s="3196" t="s">
        <v>3292</v>
      </c>
      <c r="C3" s="3196" t="s">
        <v>3368</v>
      </c>
      <c r="D3" s="3196" t="s">
        <v>3300</v>
      </c>
      <c r="E3" s="3196">
        <v>121774</v>
      </c>
      <c r="F3" s="3196">
        <v>243548</v>
      </c>
      <c r="G3" s="3196" t="s">
        <v>3330</v>
      </c>
      <c r="H3" s="3196" t="s">
        <v>3367</v>
      </c>
      <c r="I3" s="3196" t="s">
        <v>3366</v>
      </c>
      <c r="J3" s="3196" t="s">
        <v>3365</v>
      </c>
      <c r="K3" s="3196">
        <v>93814.69</v>
      </c>
      <c r="L3" s="3196">
        <v>513.6</v>
      </c>
      <c r="M3" s="3196">
        <v>3852</v>
      </c>
      <c r="N3" s="3196">
        <v>0.05</v>
      </c>
      <c r="O3" s="3196" t="s">
        <v>3295</v>
      </c>
      <c r="P3" s="3196" t="s">
        <v>3284</v>
      </c>
    </row>
    <row r="4" spans="1:17" s="3196" customFormat="1" ht="17.25" customHeight="1">
      <c r="A4" s="3196" t="s">
        <v>3364</v>
      </c>
      <c r="B4" s="3196" t="s">
        <v>3292</v>
      </c>
      <c r="C4" s="3196" t="s">
        <v>3363</v>
      </c>
      <c r="D4" s="3196" t="s">
        <v>3300</v>
      </c>
      <c r="E4" s="3196">
        <v>58466</v>
      </c>
      <c r="F4" s="3196">
        <v>116932</v>
      </c>
      <c r="G4" s="3196" t="s">
        <v>3330</v>
      </c>
      <c r="H4" s="3196" t="s">
        <v>3362</v>
      </c>
      <c r="I4" s="3196" t="s">
        <v>3361</v>
      </c>
      <c r="J4" s="3196" t="s">
        <v>3360</v>
      </c>
      <c r="K4" s="3196">
        <v>51508.55</v>
      </c>
      <c r="L4" s="3196">
        <v>587.33000000000004</v>
      </c>
      <c r="M4" s="3196">
        <v>4405</v>
      </c>
      <c r="N4" s="3196">
        <v>0.05</v>
      </c>
      <c r="O4" s="3196" t="s">
        <v>3336</v>
      </c>
      <c r="P4" s="3196" t="s">
        <v>3303</v>
      </c>
    </row>
    <row r="5" spans="1:17" s="3196" customFormat="1" ht="17.25" customHeight="1">
      <c r="A5" s="3196" t="s">
        <v>3353</v>
      </c>
      <c r="B5" s="3196" t="s">
        <v>3292</v>
      </c>
      <c r="C5" s="3196" t="s">
        <v>3359</v>
      </c>
      <c r="D5" s="3196" t="s">
        <v>3300</v>
      </c>
      <c r="E5" s="3196">
        <v>36711</v>
      </c>
      <c r="F5" s="3196">
        <v>58737.599999999999</v>
      </c>
      <c r="G5" s="3196" t="s">
        <v>3351</v>
      </c>
      <c r="H5" s="3196" t="s">
        <v>3350</v>
      </c>
      <c r="I5" s="3196" t="s">
        <v>3358</v>
      </c>
      <c r="J5" s="3196" t="s">
        <v>3348</v>
      </c>
      <c r="K5" s="3196">
        <v>31888.31</v>
      </c>
      <c r="L5" s="3196">
        <v>579.09</v>
      </c>
      <c r="M5" s="3196">
        <v>5428.94</v>
      </c>
      <c r="N5" s="3196">
        <v>0.15</v>
      </c>
      <c r="O5" s="3196" t="s">
        <v>3319</v>
      </c>
      <c r="P5" s="3196" t="s">
        <v>3284</v>
      </c>
    </row>
    <row r="6" spans="1:17" s="3196" customFormat="1" ht="17.25" customHeight="1">
      <c r="A6" s="3196" t="s">
        <v>3353</v>
      </c>
      <c r="B6" s="3196" t="s">
        <v>3292</v>
      </c>
      <c r="C6" s="3196" t="s">
        <v>3357</v>
      </c>
      <c r="D6" s="3196" t="s">
        <v>3300</v>
      </c>
      <c r="E6" s="3196">
        <v>52539</v>
      </c>
      <c r="F6" s="3196">
        <v>84062.399999999994</v>
      </c>
      <c r="G6" s="3196" t="s">
        <v>3351</v>
      </c>
      <c r="H6" s="3196" t="s">
        <v>3350</v>
      </c>
      <c r="I6" s="3196" t="s">
        <v>3356</v>
      </c>
      <c r="J6" s="3196" t="s">
        <v>3348</v>
      </c>
      <c r="K6" s="3196">
        <v>44905.91</v>
      </c>
      <c r="L6" s="3196">
        <v>569.80999999999995</v>
      </c>
      <c r="M6" s="3196">
        <v>5341.97</v>
      </c>
      <c r="N6" s="3196">
        <v>0.15</v>
      </c>
      <c r="O6" s="3196" t="s">
        <v>3319</v>
      </c>
      <c r="P6" s="3196" t="s">
        <v>3284</v>
      </c>
    </row>
    <row r="7" spans="1:17" s="3196" customFormat="1" ht="17.25" customHeight="1">
      <c r="A7" s="3196" t="s">
        <v>3353</v>
      </c>
      <c r="B7" s="3196" t="s">
        <v>3292</v>
      </c>
      <c r="C7" s="3196" t="s">
        <v>3355</v>
      </c>
      <c r="D7" s="3196" t="s">
        <v>3300</v>
      </c>
      <c r="E7" s="3196">
        <v>48324</v>
      </c>
      <c r="F7" s="3196">
        <v>77318.399999999994</v>
      </c>
      <c r="G7" s="3196" t="s">
        <v>3351</v>
      </c>
      <c r="H7" s="3196" t="s">
        <v>3350</v>
      </c>
      <c r="I7" s="3196" t="s">
        <v>3354</v>
      </c>
      <c r="J7" s="3196" t="s">
        <v>3348</v>
      </c>
      <c r="K7" s="3196">
        <v>42687.26</v>
      </c>
      <c r="L7" s="3196">
        <v>588.9</v>
      </c>
      <c r="M7" s="3196">
        <v>5520.97</v>
      </c>
      <c r="N7" s="3196">
        <v>0.15</v>
      </c>
      <c r="O7" s="3196" t="s">
        <v>3319</v>
      </c>
      <c r="P7" s="3196" t="s">
        <v>3284</v>
      </c>
    </row>
    <row r="8" spans="1:17" s="3196" customFormat="1" ht="17.25" customHeight="1">
      <c r="A8" s="3196" t="s">
        <v>3353</v>
      </c>
      <c r="B8" s="3196" t="s">
        <v>3292</v>
      </c>
      <c r="C8" s="3196" t="s">
        <v>3352</v>
      </c>
      <c r="D8" s="3196" t="s">
        <v>3300</v>
      </c>
      <c r="E8" s="3196">
        <v>52179</v>
      </c>
      <c r="F8" s="3196">
        <v>83486.399999999994</v>
      </c>
      <c r="G8" s="3196" t="s">
        <v>3351</v>
      </c>
      <c r="H8" s="3196" t="s">
        <v>3350</v>
      </c>
      <c r="I8" s="3196" t="s">
        <v>3349</v>
      </c>
      <c r="J8" s="3196" t="s">
        <v>3348</v>
      </c>
      <c r="K8" s="3196">
        <v>45349.58</v>
      </c>
      <c r="L8" s="3196">
        <v>579.41</v>
      </c>
      <c r="M8" s="3196">
        <v>5431.97</v>
      </c>
      <c r="N8" s="3196">
        <v>0.15</v>
      </c>
      <c r="O8" s="3196" t="s">
        <v>3319</v>
      </c>
      <c r="P8" s="3196" t="s">
        <v>3284</v>
      </c>
    </row>
    <row r="9" spans="1:17" s="3196" customFormat="1" ht="17.25" customHeight="1">
      <c r="A9" s="3196" t="s">
        <v>3347</v>
      </c>
      <c r="B9" s="3196" t="s">
        <v>3292</v>
      </c>
      <c r="C9" s="3196" t="s">
        <v>3346</v>
      </c>
      <c r="D9" s="3196" t="s">
        <v>3300</v>
      </c>
      <c r="E9" s="3196">
        <v>63725</v>
      </c>
      <c r="F9" s="3196">
        <v>127450</v>
      </c>
      <c r="G9" s="3196" t="s">
        <v>3330</v>
      </c>
      <c r="H9" s="3196" t="s">
        <v>3345</v>
      </c>
      <c r="I9" s="3196" t="s">
        <v>3344</v>
      </c>
      <c r="J9" s="3196" t="s">
        <v>3343</v>
      </c>
      <c r="K9" s="3196">
        <v>40784</v>
      </c>
      <c r="L9" s="3196">
        <v>426.67</v>
      </c>
      <c r="M9" s="3196">
        <v>3200</v>
      </c>
      <c r="N9" s="3196">
        <v>8.5500000000000007</v>
      </c>
      <c r="O9" s="3196" t="s">
        <v>3295</v>
      </c>
      <c r="P9" s="3196" t="s">
        <v>3294</v>
      </c>
    </row>
    <row r="10" spans="1:17" s="3196" customFormat="1" ht="17.25" customHeight="1">
      <c r="A10" s="3196" t="s">
        <v>3342</v>
      </c>
      <c r="B10" s="3196" t="s">
        <v>3292</v>
      </c>
      <c r="C10" s="3196" t="s">
        <v>3341</v>
      </c>
      <c r="D10" s="3196" t="s">
        <v>3300</v>
      </c>
      <c r="E10" s="3196">
        <v>62134</v>
      </c>
      <c r="F10" s="3196">
        <v>93201</v>
      </c>
      <c r="G10" s="3196" t="s">
        <v>3340</v>
      </c>
      <c r="H10" s="3196" t="s">
        <v>3339</v>
      </c>
      <c r="I10" s="3196" t="s">
        <v>3338</v>
      </c>
      <c r="J10" s="3196" t="s">
        <v>3337</v>
      </c>
      <c r="K10" s="3196">
        <v>11286.63</v>
      </c>
      <c r="L10" s="3196">
        <v>121.1</v>
      </c>
      <c r="M10" s="3196">
        <v>1211</v>
      </c>
      <c r="N10" s="3196">
        <v>0.17</v>
      </c>
      <c r="O10" s="3196" t="s">
        <v>3336</v>
      </c>
      <c r="P10" s="3196" t="s">
        <v>3294</v>
      </c>
    </row>
    <row r="11" spans="1:17" s="3196" customFormat="1" ht="17.25" customHeight="1">
      <c r="A11" s="3196" t="s">
        <v>3335</v>
      </c>
      <c r="B11" s="3196" t="s">
        <v>3292</v>
      </c>
      <c r="C11" s="3196" t="s">
        <v>3334</v>
      </c>
      <c r="D11" s="3196" t="s">
        <v>3300</v>
      </c>
      <c r="E11" s="3196">
        <v>17344</v>
      </c>
      <c r="F11" s="3196">
        <v>24281.599999999999</v>
      </c>
      <c r="G11" s="3196" t="s">
        <v>3333</v>
      </c>
      <c r="H11" s="3196" t="s">
        <v>3329</v>
      </c>
      <c r="I11" s="3196" t="s">
        <v>3328</v>
      </c>
      <c r="J11" s="3196" t="s">
        <v>3327</v>
      </c>
      <c r="K11" s="3196">
        <v>16319.26</v>
      </c>
      <c r="L11" s="3196">
        <v>627.28</v>
      </c>
      <c r="M11" s="3196">
        <v>6720.82</v>
      </c>
      <c r="N11" s="3196">
        <v>325.11</v>
      </c>
      <c r="O11" s="3196" t="s">
        <v>3295</v>
      </c>
      <c r="P11" s="3196" t="s">
        <v>3294</v>
      </c>
    </row>
    <row r="12" spans="1:17" s="3196" customFormat="1" ht="17.25" customHeight="1">
      <c r="A12" s="3196" t="s">
        <v>3332</v>
      </c>
      <c r="B12" s="3196" t="s">
        <v>3292</v>
      </c>
      <c r="C12" s="3196" t="s">
        <v>3331</v>
      </c>
      <c r="D12" s="3196" t="s">
        <v>3300</v>
      </c>
      <c r="E12" s="3196">
        <v>25128</v>
      </c>
      <c r="F12" s="3196">
        <v>50256</v>
      </c>
      <c r="G12" s="3196" t="s">
        <v>3330</v>
      </c>
      <c r="H12" s="3196" t="s">
        <v>3329</v>
      </c>
      <c r="I12" s="3196" t="s">
        <v>3328</v>
      </c>
      <c r="J12" s="3196" t="s">
        <v>3327</v>
      </c>
      <c r="K12" s="3196">
        <v>33681.56</v>
      </c>
      <c r="L12" s="3196">
        <v>893.6</v>
      </c>
      <c r="M12" s="3196">
        <v>6702</v>
      </c>
      <c r="N12" s="3196">
        <v>400.15</v>
      </c>
      <c r="O12" s="3196" t="s">
        <v>3295</v>
      </c>
      <c r="P12" s="3196" t="s">
        <v>3284</v>
      </c>
    </row>
    <row r="13" spans="1:17" s="3197" customFormat="1" ht="17.25" customHeight="1">
      <c r="A13" s="3197" t="s">
        <v>3326</v>
      </c>
      <c r="B13" s="3197" t="s">
        <v>3292</v>
      </c>
      <c r="C13" s="3197" t="s">
        <v>3325</v>
      </c>
      <c r="D13" s="3197" t="s">
        <v>3324</v>
      </c>
      <c r="E13" s="3197">
        <v>47289</v>
      </c>
      <c r="F13" s="3197">
        <v>118222.5</v>
      </c>
      <c r="G13" s="3197" t="s">
        <v>3323</v>
      </c>
      <c r="H13" s="3197" t="s">
        <v>3322</v>
      </c>
      <c r="I13" s="3197" t="s">
        <v>3321</v>
      </c>
      <c r="J13" s="3197" t="s">
        <v>3320</v>
      </c>
      <c r="K13" s="3197">
        <v>25949.72</v>
      </c>
      <c r="L13" s="3197">
        <v>365.83</v>
      </c>
      <c r="M13" s="3197">
        <v>2194.98</v>
      </c>
      <c r="N13" s="3197">
        <v>131.30000000000001</v>
      </c>
      <c r="O13" s="3197" t="s">
        <v>3319</v>
      </c>
      <c r="P13" s="3197" t="s">
        <v>3318</v>
      </c>
    </row>
    <row r="14" spans="1:17" s="3198" customFormat="1" ht="17.25" customHeight="1">
      <c r="A14" s="3198" t="s">
        <v>3317</v>
      </c>
      <c r="B14" s="3198" t="s">
        <v>3292</v>
      </c>
      <c r="C14" s="3198" t="s">
        <v>3316</v>
      </c>
      <c r="D14" s="3198" t="s">
        <v>3300</v>
      </c>
      <c r="E14" s="3198">
        <v>9873</v>
      </c>
      <c r="F14" s="3198">
        <v>14809.5</v>
      </c>
      <c r="G14" s="3198" t="s">
        <v>3315</v>
      </c>
      <c r="H14" s="3198" t="s">
        <v>3314</v>
      </c>
      <c r="I14" s="3198" t="s">
        <v>3313</v>
      </c>
      <c r="J14" s="3198" t="s">
        <v>3312</v>
      </c>
      <c r="K14" s="3198">
        <v>3191.34</v>
      </c>
      <c r="L14" s="3198">
        <v>215.49</v>
      </c>
      <c r="M14" s="3198">
        <v>2154.92</v>
      </c>
      <c r="N14" s="3198">
        <v>32.450000000000003</v>
      </c>
      <c r="O14" s="3198" t="s">
        <v>3295</v>
      </c>
      <c r="P14" s="3198" t="s">
        <v>3294</v>
      </c>
      <c r="Q14" s="3206" t="s">
        <v>3558</v>
      </c>
    </row>
    <row r="15" spans="1:17" s="3196" customFormat="1" ht="17.25" customHeight="1">
      <c r="A15" s="3196" t="s">
        <v>3311</v>
      </c>
      <c r="B15" s="3196" t="s">
        <v>3292</v>
      </c>
      <c r="C15" s="3196" t="s">
        <v>3310</v>
      </c>
      <c r="D15" s="3196" t="s">
        <v>3309</v>
      </c>
      <c r="E15" s="3196">
        <v>66140</v>
      </c>
      <c r="F15" s="3196">
        <v>185192</v>
      </c>
      <c r="G15" s="3196" t="s">
        <v>3308</v>
      </c>
      <c r="H15" s="3196" t="s">
        <v>3307</v>
      </c>
      <c r="I15" s="3196" t="s">
        <v>3306</v>
      </c>
      <c r="J15" s="3196" t="s">
        <v>3305</v>
      </c>
      <c r="K15" s="3196">
        <v>18019.18</v>
      </c>
      <c r="L15" s="3196">
        <v>181.63</v>
      </c>
      <c r="M15" s="3196">
        <v>973</v>
      </c>
      <c r="N15" s="3196">
        <v>0.41</v>
      </c>
      <c r="O15" s="3196" t="s">
        <v>3304</v>
      </c>
      <c r="P15" s="3196" t="s">
        <v>3303</v>
      </c>
    </row>
    <row r="16" spans="1:17" s="3198" customFormat="1" ht="17.25" customHeight="1">
      <c r="A16" s="3198" t="s">
        <v>3302</v>
      </c>
      <c r="B16" s="3198" t="s">
        <v>3292</v>
      </c>
      <c r="C16" s="3198" t="s">
        <v>3301</v>
      </c>
      <c r="D16" s="3198" t="s">
        <v>3300</v>
      </c>
      <c r="E16" s="3198">
        <v>46877</v>
      </c>
      <c r="F16" s="3198">
        <v>70315.5</v>
      </c>
      <c r="G16" s="3198" t="s">
        <v>3299</v>
      </c>
      <c r="H16" s="3198" t="s">
        <v>3298</v>
      </c>
      <c r="I16" s="3198" t="s">
        <v>3297</v>
      </c>
      <c r="J16" s="3198" t="s">
        <v>3296</v>
      </c>
      <c r="K16" s="3198">
        <v>15764.62</v>
      </c>
      <c r="L16" s="3198">
        <v>224.2</v>
      </c>
      <c r="M16" s="3198">
        <v>2241.98</v>
      </c>
      <c r="N16" s="3198">
        <v>42.98</v>
      </c>
      <c r="O16" s="3198" t="s">
        <v>3295</v>
      </c>
      <c r="P16" s="3198" t="s">
        <v>3294</v>
      </c>
      <c r="Q16" s="3206" t="s">
        <v>3560</v>
      </c>
    </row>
    <row r="17" spans="1:17" s="3198" customFormat="1" ht="17.25" customHeight="1">
      <c r="A17" s="3198" t="s">
        <v>3293</v>
      </c>
      <c r="B17" s="3198" t="s">
        <v>3292</v>
      </c>
      <c r="C17" s="3198" t="s">
        <v>3291</v>
      </c>
      <c r="D17" s="3198" t="s">
        <v>3290</v>
      </c>
      <c r="E17" s="3198">
        <v>61087</v>
      </c>
      <c r="F17" s="3198">
        <v>91630.5</v>
      </c>
      <c r="G17" s="3198" t="s">
        <v>3289</v>
      </c>
      <c r="H17" s="3198" t="s">
        <v>3288</v>
      </c>
      <c r="I17" s="3198" t="s">
        <v>3287</v>
      </c>
      <c r="J17" s="3198" t="s">
        <v>3286</v>
      </c>
      <c r="K17" s="3198">
        <v>16658.330000000002</v>
      </c>
      <c r="L17" s="3198">
        <v>181.8</v>
      </c>
      <c r="M17" s="3198">
        <v>1817.99</v>
      </c>
      <c r="N17" s="3198">
        <v>16.239999999999998</v>
      </c>
      <c r="O17" s="3198" t="s">
        <v>3285</v>
      </c>
      <c r="P17" s="3198" t="s">
        <v>3284</v>
      </c>
      <c r="Q17" s="3206" t="s">
        <v>3559</v>
      </c>
    </row>
    <row r="18" spans="1:17" s="3199" customFormat="1" ht="11.25"/>
  </sheetData>
  <phoneticPr fontId="229" type="noConversion"/>
  <hyperlinks>
    <hyperlink ref="Q14" r:id="rId1"/>
    <hyperlink ref="Q17" r:id="rId2"/>
    <hyperlink ref="Q16"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workbookViewId="0">
      <selection activeCell="D18" sqref="D18"/>
    </sheetView>
  </sheetViews>
  <sheetFormatPr defaultRowHeight="13.5"/>
  <cols>
    <col min="1" max="1" width="46.75" customWidth="1"/>
    <col min="2" max="2" width="0" hidden="1" customWidth="1"/>
    <col min="4" max="4" width="29.875" customWidth="1"/>
    <col min="5" max="6" width="14.75" customWidth="1"/>
    <col min="7" max="7" width="22.875" customWidth="1"/>
    <col min="8" max="8" width="14.75" customWidth="1"/>
    <col min="9" max="9" width="26.75" customWidth="1"/>
    <col min="10" max="10" width="42.375" customWidth="1"/>
    <col min="11" max="13" width="16.625" customWidth="1"/>
    <col min="15" max="15" width="15.125" customWidth="1"/>
  </cols>
  <sheetData>
    <row r="1" spans="1:16">
      <c r="A1" s="3195" t="s">
        <v>3391</v>
      </c>
      <c r="B1" s="3195" t="s">
        <v>3390</v>
      </c>
      <c r="C1" s="3195" t="s">
        <v>3389</v>
      </c>
      <c r="D1" s="3195" t="s">
        <v>3388</v>
      </c>
      <c r="E1" s="3195" t="s">
        <v>3387</v>
      </c>
      <c r="F1" s="3195" t="s">
        <v>3386</v>
      </c>
      <c r="G1" s="3195" t="s">
        <v>2032</v>
      </c>
      <c r="H1" s="3195" t="s">
        <v>3385</v>
      </c>
      <c r="I1" s="3195" t="s">
        <v>3384</v>
      </c>
      <c r="J1" s="3195" t="s">
        <v>3383</v>
      </c>
      <c r="K1" s="3195" t="s">
        <v>3382</v>
      </c>
      <c r="L1" s="3195" t="s">
        <v>3381</v>
      </c>
      <c r="M1" s="3195" t="s">
        <v>3380</v>
      </c>
      <c r="N1" s="3195" t="s">
        <v>3379</v>
      </c>
      <c r="O1" s="3195" t="s">
        <v>3378</v>
      </c>
      <c r="P1" s="3195" t="s">
        <v>3377</v>
      </c>
    </row>
    <row r="2" spans="1:16">
      <c r="A2" s="3195" t="s">
        <v>3392</v>
      </c>
      <c r="B2" s="3195" t="s">
        <v>3292</v>
      </c>
      <c r="C2" s="3195" t="s">
        <v>3393</v>
      </c>
      <c r="D2" s="3195" t="s">
        <v>3394</v>
      </c>
      <c r="E2" s="3195">
        <v>46408</v>
      </c>
      <c r="F2" s="3195">
        <v>102097.60000000001</v>
      </c>
      <c r="G2" s="3195" t="s">
        <v>3395</v>
      </c>
      <c r="H2" s="3195" t="s">
        <v>3396</v>
      </c>
      <c r="I2" s="3195" t="s">
        <v>3397</v>
      </c>
      <c r="J2" s="3195" t="s">
        <v>3398</v>
      </c>
      <c r="K2" s="3195">
        <v>4145.1400000000003</v>
      </c>
      <c r="L2" s="3195">
        <v>59.55</v>
      </c>
      <c r="M2" s="3195">
        <v>406</v>
      </c>
      <c r="N2" s="3195">
        <v>0</v>
      </c>
      <c r="O2" s="3195" t="s">
        <v>3336</v>
      </c>
      <c r="P2" s="3195" t="s">
        <v>3303</v>
      </c>
    </row>
    <row r="3" spans="1:16">
      <c r="A3" s="3195" t="s">
        <v>3399</v>
      </c>
      <c r="B3" s="3195" t="s">
        <v>3292</v>
      </c>
      <c r="C3" s="3195" t="s">
        <v>3400</v>
      </c>
      <c r="D3" s="3195" t="s">
        <v>3394</v>
      </c>
      <c r="E3" s="3195">
        <v>35885</v>
      </c>
      <c r="F3" s="3195">
        <v>82535.5</v>
      </c>
      <c r="G3" s="3195" t="s">
        <v>3401</v>
      </c>
      <c r="H3" s="3195" t="s">
        <v>3396</v>
      </c>
      <c r="I3" s="3195" t="s">
        <v>3402</v>
      </c>
      <c r="J3" s="3195" t="s">
        <v>3398</v>
      </c>
      <c r="K3" s="3195">
        <v>3375.67</v>
      </c>
      <c r="L3" s="3195">
        <v>62.71</v>
      </c>
      <c r="M3" s="3195">
        <v>409</v>
      </c>
      <c r="N3" s="3195">
        <v>0</v>
      </c>
      <c r="O3" s="3195" t="s">
        <v>3336</v>
      </c>
      <c r="P3" s="3195" t="s">
        <v>3303</v>
      </c>
    </row>
    <row r="4" spans="1:16">
      <c r="A4" s="3195" t="s">
        <v>3399</v>
      </c>
      <c r="B4" s="3195" t="s">
        <v>3292</v>
      </c>
      <c r="C4" s="3195" t="s">
        <v>3403</v>
      </c>
      <c r="D4" s="3195" t="s">
        <v>3394</v>
      </c>
      <c r="E4" s="3195">
        <v>4799</v>
      </c>
      <c r="F4" s="3195">
        <v>10557.8</v>
      </c>
      <c r="G4" s="3195" t="s">
        <v>3395</v>
      </c>
      <c r="H4" s="3195" t="s">
        <v>3396</v>
      </c>
      <c r="I4" s="3195" t="s">
        <v>3404</v>
      </c>
      <c r="J4" s="3195" t="s">
        <v>3398</v>
      </c>
      <c r="K4" s="3195">
        <v>423.33</v>
      </c>
      <c r="L4" s="3195">
        <v>58.81</v>
      </c>
      <c r="M4" s="3195">
        <v>400.97</v>
      </c>
      <c r="N4" s="3195">
        <v>0</v>
      </c>
      <c r="O4" s="3195" t="s">
        <v>3336</v>
      </c>
      <c r="P4" s="3195" t="s">
        <v>3303</v>
      </c>
    </row>
    <row r="5" spans="1:16">
      <c r="A5" s="3195" t="s">
        <v>3399</v>
      </c>
      <c r="B5" s="3195" t="s">
        <v>3292</v>
      </c>
      <c r="C5" s="3195" t="s">
        <v>3405</v>
      </c>
      <c r="D5" s="3195" t="s">
        <v>3394</v>
      </c>
      <c r="E5" s="3195">
        <v>24649</v>
      </c>
      <c r="F5" s="3195">
        <v>54227.8</v>
      </c>
      <c r="G5" s="3195" t="s">
        <v>3395</v>
      </c>
      <c r="H5" s="3195" t="s">
        <v>3396</v>
      </c>
      <c r="I5" s="3195" t="s">
        <v>3406</v>
      </c>
      <c r="J5" s="3195" t="s">
        <v>3398</v>
      </c>
      <c r="K5" s="3195">
        <v>2245</v>
      </c>
      <c r="L5" s="3195">
        <v>60.72</v>
      </c>
      <c r="M5" s="3195">
        <v>413.99</v>
      </c>
      <c r="N5" s="3195">
        <v>0</v>
      </c>
      <c r="O5" s="3195" t="s">
        <v>3336</v>
      </c>
      <c r="P5" s="3195" t="s">
        <v>3303</v>
      </c>
    </row>
    <row r="6" spans="1:16">
      <c r="A6" s="3195" t="s">
        <v>3399</v>
      </c>
      <c r="B6" s="3195" t="s">
        <v>3292</v>
      </c>
      <c r="C6" s="3195" t="s">
        <v>3407</v>
      </c>
      <c r="D6" s="3195" t="s">
        <v>3300</v>
      </c>
      <c r="E6" s="3195">
        <v>32182</v>
      </c>
      <c r="F6" s="3195">
        <v>70800.399999999994</v>
      </c>
      <c r="G6" s="3195" t="s">
        <v>3395</v>
      </c>
      <c r="H6" s="3195" t="s">
        <v>3408</v>
      </c>
      <c r="I6" s="3195" t="s">
        <v>3409</v>
      </c>
      <c r="J6" s="3195" t="s">
        <v>3398</v>
      </c>
      <c r="K6" s="3195">
        <v>2888.63</v>
      </c>
      <c r="L6" s="3195">
        <v>59.84</v>
      </c>
      <c r="M6" s="3195">
        <v>408</v>
      </c>
      <c r="N6" s="3195">
        <v>0</v>
      </c>
      <c r="O6" s="3195" t="s">
        <v>3295</v>
      </c>
      <c r="P6" s="3195" t="s">
        <v>3303</v>
      </c>
    </row>
    <row r="7" spans="1:16">
      <c r="A7" s="3195" t="s">
        <v>3399</v>
      </c>
      <c r="B7" s="3195" t="s">
        <v>3292</v>
      </c>
      <c r="C7" s="3195" t="s">
        <v>3410</v>
      </c>
      <c r="D7" s="3195" t="s">
        <v>3394</v>
      </c>
      <c r="E7" s="3195">
        <v>4602</v>
      </c>
      <c r="F7" s="3195">
        <v>11505</v>
      </c>
      <c r="G7" s="3195" t="s">
        <v>3411</v>
      </c>
      <c r="H7" s="3195" t="s">
        <v>3408</v>
      </c>
      <c r="I7" s="3195" t="s">
        <v>3412</v>
      </c>
      <c r="J7" s="3195" t="s">
        <v>3398</v>
      </c>
      <c r="K7" s="3195">
        <v>441.79</v>
      </c>
      <c r="L7" s="3195">
        <v>64</v>
      </c>
      <c r="M7" s="3195">
        <v>384</v>
      </c>
      <c r="N7" s="3195">
        <v>0</v>
      </c>
      <c r="O7" s="3195" t="s">
        <v>3336</v>
      </c>
      <c r="P7" s="3195" t="s">
        <v>3303</v>
      </c>
    </row>
    <row r="8" spans="1:16">
      <c r="A8" s="3195" t="s">
        <v>3413</v>
      </c>
      <c r="B8" s="3195" t="s">
        <v>3375</v>
      </c>
      <c r="C8" s="3195" t="s">
        <v>3414</v>
      </c>
      <c r="D8" s="3195" t="s">
        <v>3300</v>
      </c>
      <c r="E8" s="3195">
        <v>28438</v>
      </c>
      <c r="F8" s="3195">
        <v>42657</v>
      </c>
      <c r="G8" s="3195" t="s">
        <v>3415</v>
      </c>
      <c r="H8" s="3195" t="s">
        <v>3416</v>
      </c>
      <c r="I8" s="3195" t="s">
        <v>3417</v>
      </c>
      <c r="J8" s="3195" t="s">
        <v>3418</v>
      </c>
      <c r="K8" s="3195">
        <v>2056.0700000000002</v>
      </c>
      <c r="L8" s="3195">
        <v>48.2</v>
      </c>
      <c r="M8" s="3195">
        <v>482</v>
      </c>
      <c r="N8" s="3195" t="s">
        <v>2816</v>
      </c>
      <c r="O8" s="3195" t="s">
        <v>3295</v>
      </c>
      <c r="P8" s="3195" t="s">
        <v>3303</v>
      </c>
    </row>
    <row r="9" spans="1:16">
      <c r="A9" s="3195" t="s">
        <v>3419</v>
      </c>
      <c r="B9" s="3195" t="s">
        <v>3292</v>
      </c>
      <c r="C9" s="3195" t="s">
        <v>3420</v>
      </c>
      <c r="D9" s="3195" t="s">
        <v>3300</v>
      </c>
      <c r="E9" s="3195">
        <v>55133</v>
      </c>
      <c r="F9" s="3195">
        <v>82699.5</v>
      </c>
      <c r="G9" s="3195" t="s">
        <v>3415</v>
      </c>
      <c r="H9" s="3195" t="s">
        <v>3421</v>
      </c>
      <c r="I9" s="3195" t="s">
        <v>3422</v>
      </c>
      <c r="J9" s="3195" t="s">
        <v>3398</v>
      </c>
      <c r="K9" s="3195">
        <v>4316.8900000000003</v>
      </c>
      <c r="L9" s="3195">
        <v>52.2</v>
      </c>
      <c r="M9" s="3195">
        <v>522</v>
      </c>
      <c r="N9" s="3195" t="s">
        <v>2816</v>
      </c>
      <c r="O9" s="3195" t="s">
        <v>3295</v>
      </c>
      <c r="P9" s="3195" t="s">
        <v>3303</v>
      </c>
    </row>
    <row r="10" spans="1:16">
      <c r="A10" s="3195" t="s">
        <v>3423</v>
      </c>
      <c r="B10" s="3195" t="s">
        <v>3292</v>
      </c>
      <c r="C10" s="3195" t="s">
        <v>3424</v>
      </c>
      <c r="D10" s="3195" t="s">
        <v>3300</v>
      </c>
      <c r="E10" s="3195">
        <v>66208</v>
      </c>
      <c r="F10" s="3195">
        <v>69518.399999999994</v>
      </c>
      <c r="G10" s="3195" t="s">
        <v>3425</v>
      </c>
      <c r="H10" s="3195" t="s">
        <v>3426</v>
      </c>
      <c r="I10" s="3195" t="s">
        <v>3427</v>
      </c>
      <c r="J10" s="3195" t="s">
        <v>3327</v>
      </c>
      <c r="K10" s="3195">
        <v>6951.8</v>
      </c>
      <c r="L10" s="3195">
        <v>70</v>
      </c>
      <c r="M10" s="3195">
        <v>999.99</v>
      </c>
      <c r="N10" s="3195" t="s">
        <v>2816</v>
      </c>
      <c r="O10" s="3195" t="s">
        <v>3295</v>
      </c>
      <c r="P10" s="3195" t="s">
        <v>3303</v>
      </c>
    </row>
    <row r="11" spans="1:16">
      <c r="A11" s="3195" t="s">
        <v>3428</v>
      </c>
      <c r="B11" s="3195" t="s">
        <v>3292</v>
      </c>
      <c r="C11" s="3195" t="s">
        <v>3429</v>
      </c>
      <c r="D11" s="3195" t="s">
        <v>3300</v>
      </c>
      <c r="E11" s="3195">
        <v>66100.7</v>
      </c>
      <c r="F11" s="3195">
        <v>69405.740000000005</v>
      </c>
      <c r="G11" s="3195" t="s">
        <v>3425</v>
      </c>
      <c r="H11" s="3195" t="s">
        <v>3426</v>
      </c>
      <c r="I11" s="3195" t="s">
        <v>3430</v>
      </c>
      <c r="J11" s="3195" t="s">
        <v>3327</v>
      </c>
      <c r="K11" s="3195">
        <v>6940.5</v>
      </c>
      <c r="L11" s="3195">
        <v>70</v>
      </c>
      <c r="M11" s="3195">
        <v>999.99</v>
      </c>
      <c r="N11" s="3195" t="s">
        <v>2816</v>
      </c>
      <c r="O11" s="3195" t="s">
        <v>3295</v>
      </c>
      <c r="P11" s="3195" t="s">
        <v>3303</v>
      </c>
    </row>
    <row r="12" spans="1:16">
      <c r="A12" s="3195" t="s">
        <v>3423</v>
      </c>
      <c r="B12" s="3195" t="s">
        <v>3292</v>
      </c>
      <c r="C12" s="3195" t="s">
        <v>3431</v>
      </c>
      <c r="D12" s="3195" t="s">
        <v>3300</v>
      </c>
      <c r="E12" s="3195">
        <v>68975.199999999997</v>
      </c>
      <c r="F12" s="3195">
        <v>72423.960000000006</v>
      </c>
      <c r="G12" s="3195" t="s">
        <v>3425</v>
      </c>
      <c r="H12" s="3195" t="s">
        <v>3426</v>
      </c>
      <c r="I12" s="3195" t="s">
        <v>3432</v>
      </c>
      <c r="J12" s="3195" t="s">
        <v>3327</v>
      </c>
      <c r="K12" s="3195">
        <v>7242.3</v>
      </c>
      <c r="L12" s="3195">
        <v>70</v>
      </c>
      <c r="M12" s="3195">
        <v>999.99</v>
      </c>
      <c r="N12" s="3195" t="s">
        <v>2816</v>
      </c>
      <c r="O12" s="3195" t="s">
        <v>3295</v>
      </c>
      <c r="P12" s="3195" t="s">
        <v>3303</v>
      </c>
    </row>
    <row r="13" spans="1:16">
      <c r="A13" s="3195" t="s">
        <v>3428</v>
      </c>
      <c r="B13" s="3195" t="s">
        <v>3292</v>
      </c>
      <c r="C13" s="3195" t="s">
        <v>3433</v>
      </c>
      <c r="D13" s="3195" t="s">
        <v>3300</v>
      </c>
      <c r="E13" s="3195">
        <v>66631.5</v>
      </c>
      <c r="F13" s="3195">
        <v>69963.08</v>
      </c>
      <c r="G13" s="3195" t="s">
        <v>3425</v>
      </c>
      <c r="H13" s="3195" t="s">
        <v>3426</v>
      </c>
      <c r="I13" s="3195" t="s">
        <v>3434</v>
      </c>
      <c r="J13" s="3195" t="s">
        <v>3327</v>
      </c>
      <c r="K13" s="3195">
        <v>6996.3</v>
      </c>
      <c r="L13" s="3195">
        <v>70</v>
      </c>
      <c r="M13" s="3195">
        <v>1000</v>
      </c>
      <c r="N13" s="3195" t="s">
        <v>2816</v>
      </c>
      <c r="O13" s="3195" t="s">
        <v>3295</v>
      </c>
      <c r="P13" s="3195" t="s">
        <v>3303</v>
      </c>
    </row>
    <row r="14" spans="1:16">
      <c r="A14" s="3195" t="s">
        <v>3428</v>
      </c>
      <c r="B14" s="3195" t="s">
        <v>3292</v>
      </c>
      <c r="C14" s="3195" t="s">
        <v>3435</v>
      </c>
      <c r="D14" s="3195" t="s">
        <v>3300</v>
      </c>
      <c r="E14" s="3195">
        <v>66633.5</v>
      </c>
      <c r="F14" s="3195">
        <v>69965.179999999993</v>
      </c>
      <c r="G14" s="3195" t="s">
        <v>3425</v>
      </c>
      <c r="H14" s="3195" t="s">
        <v>3426</v>
      </c>
      <c r="I14" s="3195" t="s">
        <v>3436</v>
      </c>
      <c r="J14" s="3195" t="s">
        <v>3327</v>
      </c>
      <c r="K14" s="3195">
        <v>6969.5</v>
      </c>
      <c r="L14" s="3195">
        <v>69.73</v>
      </c>
      <c r="M14" s="3195">
        <v>996.13</v>
      </c>
      <c r="N14" s="3195" t="s">
        <v>2816</v>
      </c>
      <c r="O14" s="3195" t="s">
        <v>3295</v>
      </c>
      <c r="P14" s="3195" t="s">
        <v>3303</v>
      </c>
    </row>
    <row r="15" spans="1:16">
      <c r="A15" s="3195" t="s">
        <v>3423</v>
      </c>
      <c r="B15" s="3195" t="s">
        <v>3292</v>
      </c>
      <c r="C15" s="3195" t="s">
        <v>3437</v>
      </c>
      <c r="D15" s="3195" t="s">
        <v>3300</v>
      </c>
      <c r="E15" s="3195">
        <v>65883.7</v>
      </c>
      <c r="F15" s="3195">
        <v>69177.89</v>
      </c>
      <c r="G15" s="3195" t="s">
        <v>3425</v>
      </c>
      <c r="H15" s="3195" t="s">
        <v>3426</v>
      </c>
      <c r="I15" s="3195" t="s">
        <v>3438</v>
      </c>
      <c r="J15" s="3195" t="s">
        <v>3327</v>
      </c>
      <c r="K15" s="3195">
        <v>6917.69</v>
      </c>
      <c r="L15" s="3195">
        <v>70</v>
      </c>
      <c r="M15" s="3195">
        <v>999.99</v>
      </c>
      <c r="N15" s="3195" t="s">
        <v>2816</v>
      </c>
      <c r="O15" s="3195" t="s">
        <v>3295</v>
      </c>
      <c r="P15" s="3195" t="s">
        <v>3303</v>
      </c>
    </row>
    <row r="16" spans="1:16">
      <c r="A16" s="3195" t="s">
        <v>3423</v>
      </c>
      <c r="B16" s="3195" t="s">
        <v>3292</v>
      </c>
      <c r="C16" s="3195" t="s">
        <v>3439</v>
      </c>
      <c r="D16" s="3195" t="s">
        <v>3300</v>
      </c>
      <c r="E16" s="3195">
        <v>66172.7</v>
      </c>
      <c r="F16" s="3195">
        <v>69481.34</v>
      </c>
      <c r="G16" s="3195" t="s">
        <v>3425</v>
      </c>
      <c r="H16" s="3195" t="s">
        <v>3426</v>
      </c>
      <c r="I16" s="3195" t="s">
        <v>3440</v>
      </c>
      <c r="J16" s="3195" t="s">
        <v>3327</v>
      </c>
      <c r="K16" s="3195">
        <v>6948.1</v>
      </c>
      <c r="L16" s="3195">
        <v>70</v>
      </c>
      <c r="M16" s="3195">
        <v>1000</v>
      </c>
      <c r="N16" s="3195" t="s">
        <v>2816</v>
      </c>
      <c r="O16" s="3195" t="s">
        <v>3295</v>
      </c>
      <c r="P16" s="3195" t="s">
        <v>3303</v>
      </c>
    </row>
    <row r="17" spans="1:16">
      <c r="A17" s="3195" t="s">
        <v>3423</v>
      </c>
      <c r="B17" s="3195" t="s">
        <v>3292</v>
      </c>
      <c r="C17" s="3195" t="s">
        <v>3441</v>
      </c>
      <c r="D17" s="3195" t="s">
        <v>3300</v>
      </c>
      <c r="E17" s="3195">
        <v>68945.899999999994</v>
      </c>
      <c r="F17" s="3195">
        <v>72393.19</v>
      </c>
      <c r="G17" s="3195" t="s">
        <v>3425</v>
      </c>
      <c r="H17" s="3195" t="s">
        <v>3426</v>
      </c>
      <c r="I17" s="3195" t="s">
        <v>3442</v>
      </c>
      <c r="J17" s="3195" t="s">
        <v>3327</v>
      </c>
      <c r="K17" s="3195">
        <v>7239.3</v>
      </c>
      <c r="L17" s="3195">
        <v>70</v>
      </c>
      <c r="M17" s="3195">
        <v>1000</v>
      </c>
      <c r="N17" s="3195" t="s">
        <v>2816</v>
      </c>
      <c r="O17" s="3195" t="s">
        <v>3295</v>
      </c>
      <c r="P17" s="3195" t="s">
        <v>3303</v>
      </c>
    </row>
    <row r="18" spans="1:16">
      <c r="A18" s="3195" t="s">
        <v>3428</v>
      </c>
      <c r="B18" s="3195" t="s">
        <v>3292</v>
      </c>
      <c r="C18" s="3195" t="s">
        <v>3443</v>
      </c>
      <c r="D18" s="3195" t="s">
        <v>3300</v>
      </c>
      <c r="E18" s="3195">
        <v>66237.899999999994</v>
      </c>
      <c r="F18" s="3195">
        <v>69549.8</v>
      </c>
      <c r="G18" s="3195" t="s">
        <v>3425</v>
      </c>
      <c r="H18" s="3195" t="s">
        <v>3426</v>
      </c>
      <c r="I18" s="3195" t="s">
        <v>3444</v>
      </c>
      <c r="J18" s="3195" t="s">
        <v>3327</v>
      </c>
      <c r="K18" s="3195">
        <v>6954.89</v>
      </c>
      <c r="L18" s="3195">
        <v>70</v>
      </c>
      <c r="M18" s="3195">
        <v>999.99</v>
      </c>
      <c r="N18" s="3195" t="s">
        <v>2816</v>
      </c>
      <c r="O18" s="3195" t="s">
        <v>3295</v>
      </c>
      <c r="P18" s="3195" t="s">
        <v>3303</v>
      </c>
    </row>
    <row r="19" spans="1:16">
      <c r="A19" s="3195" t="s">
        <v>3423</v>
      </c>
      <c r="B19" s="3195" t="s">
        <v>3292</v>
      </c>
      <c r="C19" s="3195" t="s">
        <v>3445</v>
      </c>
      <c r="D19" s="3195" t="s">
        <v>3300</v>
      </c>
      <c r="E19" s="3195">
        <v>68927.899999999994</v>
      </c>
      <c r="F19" s="3195">
        <v>72374.3</v>
      </c>
      <c r="G19" s="3195" t="s">
        <v>3425</v>
      </c>
      <c r="H19" s="3195" t="s">
        <v>3426</v>
      </c>
      <c r="I19" s="3195" t="s">
        <v>3446</v>
      </c>
      <c r="J19" s="3195" t="s">
        <v>3327</v>
      </c>
      <c r="K19" s="3195">
        <v>7237.39</v>
      </c>
      <c r="L19" s="3195">
        <v>70</v>
      </c>
      <c r="M19" s="3195">
        <v>1000</v>
      </c>
      <c r="N19" s="3195" t="s">
        <v>2816</v>
      </c>
      <c r="O19" s="3195" t="s">
        <v>3295</v>
      </c>
      <c r="P19" s="3195" t="s">
        <v>3303</v>
      </c>
    </row>
    <row r="20" spans="1:16">
      <c r="A20" s="3195" t="s">
        <v>3423</v>
      </c>
      <c r="B20" s="3195" t="s">
        <v>3292</v>
      </c>
      <c r="C20" s="3195" t="s">
        <v>3447</v>
      </c>
      <c r="D20" s="3195" t="s">
        <v>3300</v>
      </c>
      <c r="E20" s="3195">
        <v>66150.5</v>
      </c>
      <c r="F20" s="3195">
        <v>69458.03</v>
      </c>
      <c r="G20" s="3195" t="s">
        <v>3425</v>
      </c>
      <c r="H20" s="3195" t="s">
        <v>3426</v>
      </c>
      <c r="I20" s="3195" t="s">
        <v>3448</v>
      </c>
      <c r="J20" s="3195" t="s">
        <v>3327</v>
      </c>
      <c r="K20" s="3195">
        <v>6945.8</v>
      </c>
      <c r="L20" s="3195">
        <v>70</v>
      </c>
      <c r="M20" s="3195">
        <v>1000</v>
      </c>
      <c r="N20" s="3195" t="s">
        <v>2816</v>
      </c>
      <c r="O20" s="3195" t="s">
        <v>3295</v>
      </c>
      <c r="P20" s="3195" t="s">
        <v>3303</v>
      </c>
    </row>
    <row r="21" spans="1:16">
      <c r="A21" s="3195" t="s">
        <v>3423</v>
      </c>
      <c r="B21" s="3195" t="s">
        <v>3292</v>
      </c>
      <c r="C21" s="3195" t="s">
        <v>3449</v>
      </c>
      <c r="D21" s="3195" t="s">
        <v>3300</v>
      </c>
      <c r="E21" s="3195">
        <v>69095.3</v>
      </c>
      <c r="F21" s="3195">
        <v>72550.070000000007</v>
      </c>
      <c r="G21" s="3195" t="s">
        <v>3425</v>
      </c>
      <c r="H21" s="3195" t="s">
        <v>3426</v>
      </c>
      <c r="I21" s="3195" t="s">
        <v>3450</v>
      </c>
      <c r="J21" s="3195" t="s">
        <v>3327</v>
      </c>
      <c r="K21" s="3195">
        <v>7255</v>
      </c>
      <c r="L21" s="3195">
        <v>70</v>
      </c>
      <c r="M21" s="3195">
        <v>1000</v>
      </c>
      <c r="N21" s="3195" t="s">
        <v>2816</v>
      </c>
      <c r="O21" s="3195" t="s">
        <v>3295</v>
      </c>
      <c r="P21" s="3195" t="s">
        <v>3303</v>
      </c>
    </row>
    <row r="22" spans="1:16">
      <c r="A22" s="3195" t="s">
        <v>3423</v>
      </c>
      <c r="B22" s="3195" t="s">
        <v>3292</v>
      </c>
      <c r="C22" s="3195" t="s">
        <v>3451</v>
      </c>
      <c r="D22" s="3195" t="s">
        <v>3300</v>
      </c>
      <c r="E22" s="3195">
        <v>66044.5</v>
      </c>
      <c r="F22" s="3195">
        <v>69346.73</v>
      </c>
      <c r="G22" s="3195" t="s">
        <v>3425</v>
      </c>
      <c r="H22" s="3195" t="s">
        <v>3426</v>
      </c>
      <c r="I22" s="3195" t="s">
        <v>3452</v>
      </c>
      <c r="J22" s="3195" t="s">
        <v>3327</v>
      </c>
      <c r="K22" s="3195">
        <v>6934.6</v>
      </c>
      <c r="L22" s="3195">
        <v>70</v>
      </c>
      <c r="M22" s="3195">
        <v>999.99</v>
      </c>
      <c r="N22" s="3195" t="s">
        <v>2816</v>
      </c>
      <c r="O22" s="3195" t="s">
        <v>3295</v>
      </c>
      <c r="P22" s="3195" t="s">
        <v>3303</v>
      </c>
    </row>
    <row r="23" spans="1:16">
      <c r="A23" s="3195" t="s">
        <v>3453</v>
      </c>
      <c r="B23" s="3195" t="s">
        <v>3292</v>
      </c>
      <c r="C23" s="3195" t="s">
        <v>3454</v>
      </c>
      <c r="D23" s="3195" t="s">
        <v>3300</v>
      </c>
      <c r="E23" s="3195">
        <v>60037</v>
      </c>
      <c r="F23" s="3195">
        <v>108066.6</v>
      </c>
      <c r="G23" s="3195" t="s">
        <v>3455</v>
      </c>
      <c r="H23" s="3195" t="s">
        <v>3456</v>
      </c>
      <c r="I23" s="3195" t="s">
        <v>3457</v>
      </c>
      <c r="J23" s="3195" t="s">
        <v>3458</v>
      </c>
      <c r="K23" s="3195">
        <v>2355.84</v>
      </c>
      <c r="L23" s="3195">
        <v>26.16</v>
      </c>
      <c r="M23" s="3195">
        <v>218</v>
      </c>
      <c r="N23" s="3195" t="s">
        <v>2816</v>
      </c>
      <c r="O23" s="3195" t="s">
        <v>3295</v>
      </c>
      <c r="P23" s="3195" t="s">
        <v>3303</v>
      </c>
    </row>
    <row r="24" spans="1:16">
      <c r="A24" s="3195" t="s">
        <v>3459</v>
      </c>
      <c r="B24" s="3195" t="s">
        <v>3292</v>
      </c>
      <c r="C24" s="3195" t="s">
        <v>3460</v>
      </c>
      <c r="D24" s="3195" t="s">
        <v>3300</v>
      </c>
      <c r="E24" s="3195">
        <v>68298</v>
      </c>
      <c r="F24" s="3195">
        <v>81957.600000000006</v>
      </c>
      <c r="G24" s="3195" t="s">
        <v>3461</v>
      </c>
      <c r="H24" s="3195" t="s">
        <v>3456</v>
      </c>
      <c r="I24" s="3195" t="s">
        <v>3462</v>
      </c>
      <c r="J24" s="3195" t="s">
        <v>3463</v>
      </c>
      <c r="K24" s="3195">
        <v>1827.64</v>
      </c>
      <c r="L24" s="3195">
        <v>17.84</v>
      </c>
      <c r="M24" s="3195">
        <v>223</v>
      </c>
      <c r="N24" s="3195" t="s">
        <v>2816</v>
      </c>
      <c r="O24" s="3195" t="s">
        <v>3295</v>
      </c>
      <c r="P24" s="3195" t="s">
        <v>3303</v>
      </c>
    </row>
    <row r="25" spans="1:16">
      <c r="A25" s="3195" t="s">
        <v>3453</v>
      </c>
      <c r="B25" s="3195" t="s">
        <v>3292</v>
      </c>
      <c r="C25" s="3195" t="s">
        <v>3464</v>
      </c>
      <c r="D25" s="3195" t="s">
        <v>3300</v>
      </c>
      <c r="E25" s="3195">
        <v>68988</v>
      </c>
      <c r="F25" s="3195">
        <v>82785.600000000006</v>
      </c>
      <c r="G25" s="3195" t="s">
        <v>3465</v>
      </c>
      <c r="H25" s="3195" t="s">
        <v>3456</v>
      </c>
      <c r="I25" s="3195" t="s">
        <v>3466</v>
      </c>
      <c r="J25" s="3195" t="s">
        <v>3458</v>
      </c>
      <c r="K25" s="3195">
        <v>1846.1</v>
      </c>
      <c r="L25" s="3195">
        <v>17.84</v>
      </c>
      <c r="M25" s="3195">
        <v>223</v>
      </c>
      <c r="N25" s="3195" t="s">
        <v>2816</v>
      </c>
      <c r="O25" s="3195" t="s">
        <v>3295</v>
      </c>
      <c r="P25" s="3195" t="s">
        <v>3303</v>
      </c>
    </row>
    <row r="26" spans="1:16">
      <c r="A26" s="3195" t="s">
        <v>3467</v>
      </c>
      <c r="B26" s="3195" t="s">
        <v>3292</v>
      </c>
      <c r="C26" s="3195" t="s">
        <v>3468</v>
      </c>
      <c r="D26" s="3195" t="s">
        <v>3300</v>
      </c>
      <c r="E26" s="3195">
        <v>66674</v>
      </c>
      <c r="F26" s="3195">
        <v>120013.2</v>
      </c>
      <c r="G26" s="3195" t="s">
        <v>3455</v>
      </c>
      <c r="H26" s="3195" t="s">
        <v>3456</v>
      </c>
      <c r="I26" s="3195" t="s">
        <v>3469</v>
      </c>
      <c r="J26" s="3195" t="s">
        <v>3458</v>
      </c>
      <c r="K26" s="3195">
        <v>2616.2800000000002</v>
      </c>
      <c r="L26" s="3195">
        <v>26.16</v>
      </c>
      <c r="M26" s="3195">
        <v>218</v>
      </c>
      <c r="N26" s="3195" t="s">
        <v>2816</v>
      </c>
      <c r="O26" s="3195" t="s">
        <v>3295</v>
      </c>
      <c r="P26" s="3195" t="s">
        <v>3303</v>
      </c>
    </row>
    <row r="27" spans="1:16">
      <c r="A27" s="3195" t="s">
        <v>3467</v>
      </c>
      <c r="B27" s="3195" t="s">
        <v>3292</v>
      </c>
      <c r="C27" s="3195" t="s">
        <v>3470</v>
      </c>
      <c r="D27" s="3195" t="s">
        <v>3300</v>
      </c>
      <c r="E27" s="3195">
        <v>51031</v>
      </c>
      <c r="F27" s="3195">
        <v>91855.8</v>
      </c>
      <c r="G27" s="3195" t="s">
        <v>3455</v>
      </c>
      <c r="H27" s="3195" t="s">
        <v>3456</v>
      </c>
      <c r="I27" s="3195" t="s">
        <v>3471</v>
      </c>
      <c r="J27" s="3195" t="s">
        <v>3458</v>
      </c>
      <c r="K27" s="3195">
        <v>2002.44</v>
      </c>
      <c r="L27" s="3195">
        <v>26.16</v>
      </c>
      <c r="M27" s="3195">
        <v>218</v>
      </c>
      <c r="N27" s="3195" t="s">
        <v>2816</v>
      </c>
      <c r="O27" s="3195" t="s">
        <v>3295</v>
      </c>
      <c r="P27" s="3195" t="s">
        <v>3303</v>
      </c>
    </row>
    <row r="28" spans="1:16">
      <c r="A28" s="3195" t="s">
        <v>3453</v>
      </c>
      <c r="B28" s="3195" t="s">
        <v>3292</v>
      </c>
      <c r="C28" s="3195" t="s">
        <v>3472</v>
      </c>
      <c r="D28" s="3195" t="s">
        <v>3300</v>
      </c>
      <c r="E28" s="3195">
        <v>46259</v>
      </c>
      <c r="F28" s="3195">
        <v>83266.2</v>
      </c>
      <c r="G28" s="3195" t="s">
        <v>3455</v>
      </c>
      <c r="H28" s="3195" t="s">
        <v>3456</v>
      </c>
      <c r="I28" s="3195" t="s">
        <v>3473</v>
      </c>
      <c r="J28" s="3195" t="s">
        <v>3463</v>
      </c>
      <c r="K28" s="3195">
        <v>1815.2</v>
      </c>
      <c r="L28" s="3195">
        <v>26.16</v>
      </c>
      <c r="M28" s="3195">
        <v>218</v>
      </c>
      <c r="N28" s="3195" t="s">
        <v>2816</v>
      </c>
      <c r="O28" s="3195" t="s">
        <v>3295</v>
      </c>
      <c r="P28" s="3195" t="s">
        <v>3303</v>
      </c>
    </row>
    <row r="29" spans="1:16">
      <c r="A29" s="3195" t="s">
        <v>3453</v>
      </c>
      <c r="B29" s="3195" t="s">
        <v>3292</v>
      </c>
      <c r="C29" s="3195" t="s">
        <v>3474</v>
      </c>
      <c r="D29" s="3195" t="s">
        <v>3300</v>
      </c>
      <c r="E29" s="3195">
        <v>62850</v>
      </c>
      <c r="F29" s="3195">
        <v>113130</v>
      </c>
      <c r="G29" s="3195" t="s">
        <v>3455</v>
      </c>
      <c r="H29" s="3195" t="s">
        <v>3456</v>
      </c>
      <c r="I29" s="3195" t="s">
        <v>3475</v>
      </c>
      <c r="J29" s="3195" t="s">
        <v>3463</v>
      </c>
      <c r="K29" s="3195">
        <v>2466.23</v>
      </c>
      <c r="L29" s="3195">
        <v>26.16</v>
      </c>
      <c r="M29" s="3195">
        <v>218</v>
      </c>
      <c r="N29" s="3195" t="s">
        <v>2816</v>
      </c>
      <c r="O29" s="3195" t="s">
        <v>3295</v>
      </c>
      <c r="P29" s="3195" t="s">
        <v>3303</v>
      </c>
    </row>
    <row r="30" spans="1:16">
      <c r="A30" s="3195" t="s">
        <v>3459</v>
      </c>
      <c r="B30" s="3195" t="s">
        <v>3292</v>
      </c>
      <c r="C30" s="3195" t="s">
        <v>3476</v>
      </c>
      <c r="D30" s="3195" t="s">
        <v>3300</v>
      </c>
      <c r="E30" s="3195">
        <v>69707</v>
      </c>
      <c r="F30" s="3195">
        <v>125472.6</v>
      </c>
      <c r="G30" s="3195" t="s">
        <v>3477</v>
      </c>
      <c r="H30" s="3195" t="s">
        <v>3456</v>
      </c>
      <c r="I30" s="3195" t="s">
        <v>3478</v>
      </c>
      <c r="J30" s="3195" t="s">
        <v>3458</v>
      </c>
      <c r="K30" s="3195">
        <v>2735.28</v>
      </c>
      <c r="L30" s="3195">
        <v>26.16</v>
      </c>
      <c r="M30" s="3195">
        <v>218</v>
      </c>
      <c r="N30" s="3195" t="s">
        <v>2816</v>
      </c>
      <c r="O30" s="3195" t="s">
        <v>3295</v>
      </c>
      <c r="P30" s="3195" t="s">
        <v>3303</v>
      </c>
    </row>
    <row r="31" spans="1:16">
      <c r="A31" s="3195" t="s">
        <v>3453</v>
      </c>
      <c r="B31" s="3195" t="s">
        <v>3292</v>
      </c>
      <c r="C31" s="3195" t="s">
        <v>3479</v>
      </c>
      <c r="D31" s="3195" t="s">
        <v>3300</v>
      </c>
      <c r="E31" s="3195">
        <v>47452</v>
      </c>
      <c r="F31" s="3195">
        <v>56942.400000000001</v>
      </c>
      <c r="G31" s="3195" t="s">
        <v>3465</v>
      </c>
      <c r="H31" s="3195" t="s">
        <v>3456</v>
      </c>
      <c r="I31" s="3195" t="s">
        <v>3480</v>
      </c>
      <c r="J31" s="3195" t="s">
        <v>3458</v>
      </c>
      <c r="K31" s="3195">
        <v>1269.8</v>
      </c>
      <c r="L31" s="3195">
        <v>17.84</v>
      </c>
      <c r="M31" s="3195">
        <v>223</v>
      </c>
      <c r="N31" s="3195" t="s">
        <v>2816</v>
      </c>
      <c r="O31" s="3195" t="s">
        <v>3295</v>
      </c>
      <c r="P31" s="3195" t="s">
        <v>3303</v>
      </c>
    </row>
    <row r="32" spans="1:16">
      <c r="A32" s="3195" t="s">
        <v>3453</v>
      </c>
      <c r="B32" s="3195" t="s">
        <v>3292</v>
      </c>
      <c r="C32" s="3195" t="s">
        <v>3481</v>
      </c>
      <c r="D32" s="3195" t="s">
        <v>3300</v>
      </c>
      <c r="E32" s="3195">
        <v>57845</v>
      </c>
      <c r="F32" s="3195">
        <v>69414</v>
      </c>
      <c r="G32" s="3195" t="s">
        <v>3465</v>
      </c>
      <c r="H32" s="3195" t="s">
        <v>3456</v>
      </c>
      <c r="I32" s="3195" t="s">
        <v>3482</v>
      </c>
      <c r="J32" s="3195" t="s">
        <v>3463</v>
      </c>
      <c r="K32" s="3195">
        <v>1547.93</v>
      </c>
      <c r="L32" s="3195">
        <v>17.84</v>
      </c>
      <c r="M32" s="3195">
        <v>223</v>
      </c>
      <c r="N32" s="3195" t="s">
        <v>2816</v>
      </c>
      <c r="O32" s="3195" t="s">
        <v>3295</v>
      </c>
      <c r="P32" s="3195" t="s">
        <v>3303</v>
      </c>
    </row>
    <row r="33" spans="1:16">
      <c r="A33" s="3195" t="s">
        <v>3459</v>
      </c>
      <c r="B33" s="3195" t="s">
        <v>3292</v>
      </c>
      <c r="C33" s="3195" t="s">
        <v>3483</v>
      </c>
      <c r="D33" s="3195" t="s">
        <v>3300</v>
      </c>
      <c r="E33" s="3195">
        <v>66819</v>
      </c>
      <c r="F33" s="3195">
        <v>80182.8</v>
      </c>
      <c r="G33" s="3195" t="s">
        <v>3461</v>
      </c>
      <c r="H33" s="3195" t="s">
        <v>3456</v>
      </c>
      <c r="I33" s="3195" t="s">
        <v>3484</v>
      </c>
      <c r="J33" s="3195" t="s">
        <v>3458</v>
      </c>
      <c r="K33" s="3195">
        <v>1788.05</v>
      </c>
      <c r="L33" s="3195">
        <v>17.84</v>
      </c>
      <c r="M33" s="3195">
        <v>223</v>
      </c>
      <c r="N33" s="3195" t="s">
        <v>2816</v>
      </c>
      <c r="O33" s="3195" t="s">
        <v>3295</v>
      </c>
      <c r="P33" s="3195" t="s">
        <v>3303</v>
      </c>
    </row>
    <row r="34" spans="1:16">
      <c r="A34" s="3195" t="s">
        <v>3467</v>
      </c>
      <c r="B34" s="3195" t="s">
        <v>3292</v>
      </c>
      <c r="C34" s="3195" t="s">
        <v>3485</v>
      </c>
      <c r="D34" s="3195" t="s">
        <v>3300</v>
      </c>
      <c r="E34" s="3195">
        <v>56705</v>
      </c>
      <c r="F34" s="3195">
        <v>68046</v>
      </c>
      <c r="G34" s="3195" t="s">
        <v>3465</v>
      </c>
      <c r="H34" s="3195" t="s">
        <v>3456</v>
      </c>
      <c r="I34" s="3195" t="s">
        <v>3486</v>
      </c>
      <c r="J34" s="3195" t="s">
        <v>3458</v>
      </c>
      <c r="K34" s="3195">
        <v>1517.43</v>
      </c>
      <c r="L34" s="3195">
        <v>17.84</v>
      </c>
      <c r="M34" s="3195">
        <v>223</v>
      </c>
      <c r="N34" s="3195" t="s">
        <v>2816</v>
      </c>
      <c r="O34" s="3195" t="s">
        <v>3295</v>
      </c>
      <c r="P34" s="3195" t="s">
        <v>3303</v>
      </c>
    </row>
    <row r="35" spans="1:16">
      <c r="A35" s="3195" t="s">
        <v>3459</v>
      </c>
      <c r="B35" s="3195" t="s">
        <v>3292</v>
      </c>
      <c r="C35" s="3195" t="s">
        <v>3487</v>
      </c>
      <c r="D35" s="3195" t="s">
        <v>3300</v>
      </c>
      <c r="E35" s="3195">
        <v>66444</v>
      </c>
      <c r="F35" s="3195">
        <v>119599.2</v>
      </c>
      <c r="G35" s="3195" t="s">
        <v>3477</v>
      </c>
      <c r="H35" s="3195" t="s">
        <v>3456</v>
      </c>
      <c r="I35" s="3195" t="s">
        <v>3488</v>
      </c>
      <c r="J35" s="3195" t="s">
        <v>3458</v>
      </c>
      <c r="K35" s="3195">
        <v>2607.2600000000002</v>
      </c>
      <c r="L35" s="3195">
        <v>26.16</v>
      </c>
      <c r="M35" s="3195">
        <v>218</v>
      </c>
      <c r="N35" s="3195" t="s">
        <v>2816</v>
      </c>
      <c r="O35" s="3195" t="s">
        <v>3295</v>
      </c>
      <c r="P35" s="3195" t="s">
        <v>3303</v>
      </c>
    </row>
    <row r="36" spans="1:16">
      <c r="A36" s="3195" t="s">
        <v>3453</v>
      </c>
      <c r="B36" s="3195" t="s">
        <v>3292</v>
      </c>
      <c r="C36" s="3195" t="s">
        <v>3489</v>
      </c>
      <c r="D36" s="3195" t="s">
        <v>3300</v>
      </c>
      <c r="E36" s="3195">
        <v>57905</v>
      </c>
      <c r="F36" s="3195">
        <v>69486</v>
      </c>
      <c r="G36" s="3195" t="s">
        <v>3465</v>
      </c>
      <c r="H36" s="3195" t="s">
        <v>3456</v>
      </c>
      <c r="I36" s="3195" t="s">
        <v>3490</v>
      </c>
      <c r="J36" s="3195" t="s">
        <v>3463</v>
      </c>
      <c r="K36" s="3195">
        <v>1549.53</v>
      </c>
      <c r="L36" s="3195">
        <v>17.84</v>
      </c>
      <c r="M36" s="3195">
        <v>223</v>
      </c>
      <c r="N36" s="3195" t="s">
        <v>2816</v>
      </c>
      <c r="O36" s="3195" t="s">
        <v>3295</v>
      </c>
      <c r="P36" s="3195" t="s">
        <v>3303</v>
      </c>
    </row>
    <row r="37" spans="1:16">
      <c r="A37" s="3195" t="s">
        <v>3453</v>
      </c>
      <c r="B37" s="3195" t="s">
        <v>3292</v>
      </c>
      <c r="C37" s="3195" t="s">
        <v>3491</v>
      </c>
      <c r="D37" s="3195" t="s">
        <v>3300</v>
      </c>
      <c r="E37" s="3195">
        <v>69007</v>
      </c>
      <c r="F37" s="3195">
        <v>82808.399999999994</v>
      </c>
      <c r="G37" s="3195" t="s">
        <v>3465</v>
      </c>
      <c r="H37" s="3195" t="s">
        <v>3456</v>
      </c>
      <c r="I37" s="3195" t="s">
        <v>3492</v>
      </c>
      <c r="J37" s="3195" t="s">
        <v>3458</v>
      </c>
      <c r="K37" s="3195">
        <v>1846.61</v>
      </c>
      <c r="L37" s="3195">
        <v>17.84</v>
      </c>
      <c r="M37" s="3195">
        <v>223</v>
      </c>
      <c r="N37" s="3195" t="s">
        <v>2816</v>
      </c>
      <c r="O37" s="3195" t="s">
        <v>3295</v>
      </c>
      <c r="P37" s="3195" t="s">
        <v>3303</v>
      </c>
    </row>
    <row r="38" spans="1:16">
      <c r="A38" s="3195" t="s">
        <v>3459</v>
      </c>
      <c r="B38" s="3195" t="s">
        <v>3292</v>
      </c>
      <c r="C38" s="3195" t="s">
        <v>3493</v>
      </c>
      <c r="D38" s="3195" t="s">
        <v>3300</v>
      </c>
      <c r="E38" s="3195">
        <v>41828</v>
      </c>
      <c r="F38" s="3195">
        <v>75290.399999999994</v>
      </c>
      <c r="G38" s="3195" t="s">
        <v>3477</v>
      </c>
      <c r="H38" s="3195" t="s">
        <v>3456</v>
      </c>
      <c r="I38" s="3195" t="s">
        <v>3494</v>
      </c>
      <c r="J38" s="3195" t="s">
        <v>3463</v>
      </c>
      <c r="K38" s="3195">
        <v>1641.31</v>
      </c>
      <c r="L38" s="3195">
        <v>26.16</v>
      </c>
      <c r="M38" s="3195">
        <v>218</v>
      </c>
      <c r="N38" s="3195" t="s">
        <v>2816</v>
      </c>
      <c r="O38" s="3195" t="s">
        <v>3295</v>
      </c>
      <c r="P38" s="3195" t="s">
        <v>3303</v>
      </c>
    </row>
    <row r="39" spans="1:16">
      <c r="A39" s="3195" t="s">
        <v>3453</v>
      </c>
      <c r="B39" s="3195" t="s">
        <v>3292</v>
      </c>
      <c r="C39" s="3195" t="s">
        <v>3495</v>
      </c>
      <c r="D39" s="3195" t="s">
        <v>3300</v>
      </c>
      <c r="E39" s="3195">
        <v>67457</v>
      </c>
      <c r="F39" s="3195">
        <v>80948.399999999994</v>
      </c>
      <c r="G39" s="3195" t="s">
        <v>3465</v>
      </c>
      <c r="H39" s="3195" t="s">
        <v>3456</v>
      </c>
      <c r="I39" s="3195" t="s">
        <v>3496</v>
      </c>
      <c r="J39" s="3195" t="s">
        <v>3458</v>
      </c>
      <c r="K39" s="3195">
        <v>1805.14</v>
      </c>
      <c r="L39" s="3195">
        <v>17.84</v>
      </c>
      <c r="M39" s="3195">
        <v>223</v>
      </c>
      <c r="N39" s="3195" t="s">
        <v>2816</v>
      </c>
      <c r="O39" s="3195" t="s">
        <v>3295</v>
      </c>
      <c r="P39" s="3195" t="s">
        <v>3303</v>
      </c>
    </row>
    <row r="40" spans="1:16">
      <c r="A40" s="3195" t="s">
        <v>3453</v>
      </c>
      <c r="B40" s="3195" t="s">
        <v>3292</v>
      </c>
      <c r="C40" s="3195" t="s">
        <v>3497</v>
      </c>
      <c r="D40" s="3195" t="s">
        <v>3300</v>
      </c>
      <c r="E40" s="3195">
        <v>66749</v>
      </c>
      <c r="F40" s="3195">
        <v>120148.2</v>
      </c>
      <c r="G40" s="3195" t="s">
        <v>3455</v>
      </c>
      <c r="H40" s="3195" t="s">
        <v>3456</v>
      </c>
      <c r="I40" s="3195" t="s">
        <v>3498</v>
      </c>
      <c r="J40" s="3195" t="s">
        <v>3463</v>
      </c>
      <c r="K40" s="3195">
        <v>2619.23</v>
      </c>
      <c r="L40" s="3195">
        <v>26.16</v>
      </c>
      <c r="M40" s="3195">
        <v>218</v>
      </c>
      <c r="N40" s="3195" t="s">
        <v>2816</v>
      </c>
      <c r="O40" s="3195" t="s">
        <v>3295</v>
      </c>
      <c r="P40" s="3195" t="s">
        <v>3303</v>
      </c>
    </row>
    <row r="41" spans="1:16">
      <c r="A41" s="3195" t="s">
        <v>3453</v>
      </c>
      <c r="B41" s="3195" t="s">
        <v>3292</v>
      </c>
      <c r="C41" s="3195" t="s">
        <v>3499</v>
      </c>
      <c r="D41" s="3195" t="s">
        <v>3300</v>
      </c>
      <c r="E41" s="3195">
        <v>63178</v>
      </c>
      <c r="F41" s="3195">
        <v>113720.4</v>
      </c>
      <c r="G41" s="3195" t="s">
        <v>3455</v>
      </c>
      <c r="H41" s="3195" t="s">
        <v>3456</v>
      </c>
      <c r="I41" s="3195" t="s">
        <v>3500</v>
      </c>
      <c r="J41" s="3195" t="s">
        <v>3458</v>
      </c>
      <c r="K41" s="3195">
        <v>2479.09</v>
      </c>
      <c r="L41" s="3195">
        <v>26.16</v>
      </c>
      <c r="M41" s="3195">
        <v>218</v>
      </c>
      <c r="N41" s="3195" t="s">
        <v>2816</v>
      </c>
      <c r="O41" s="3195" t="s">
        <v>3295</v>
      </c>
      <c r="P41" s="3195" t="s">
        <v>3303</v>
      </c>
    </row>
    <row r="42" spans="1:16">
      <c r="A42" s="3195" t="s">
        <v>3501</v>
      </c>
      <c r="B42" s="3195" t="s">
        <v>3292</v>
      </c>
      <c r="C42" s="3195" t="s">
        <v>3502</v>
      </c>
      <c r="D42" s="3195" t="s">
        <v>3503</v>
      </c>
      <c r="E42" s="3195">
        <v>17770</v>
      </c>
      <c r="F42" s="3195">
        <v>26655</v>
      </c>
      <c r="G42" s="3195" t="s">
        <v>3504</v>
      </c>
      <c r="H42" s="3195" t="s">
        <v>3505</v>
      </c>
      <c r="I42" s="3195" t="s">
        <v>2816</v>
      </c>
      <c r="J42" s="3195" t="s">
        <v>3506</v>
      </c>
      <c r="K42" s="3195">
        <v>780.99</v>
      </c>
      <c r="L42" s="3195">
        <v>29.3</v>
      </c>
      <c r="M42" s="3195">
        <v>293</v>
      </c>
      <c r="N42" s="3195">
        <v>0</v>
      </c>
      <c r="O42" s="3195" t="s">
        <v>3295</v>
      </c>
      <c r="P42" s="3195" t="s">
        <v>3303</v>
      </c>
    </row>
    <row r="43" spans="1:16">
      <c r="A43" s="3195" t="s">
        <v>3507</v>
      </c>
      <c r="B43" s="3195" t="s">
        <v>3375</v>
      </c>
      <c r="C43" s="3195" t="s">
        <v>3508</v>
      </c>
      <c r="D43" s="3195" t="s">
        <v>3503</v>
      </c>
      <c r="E43" s="3195">
        <v>85008</v>
      </c>
      <c r="F43" s="3195">
        <v>102009.60000000001</v>
      </c>
      <c r="G43" s="3195" t="s">
        <v>3509</v>
      </c>
      <c r="H43" s="3195" t="s">
        <v>3510</v>
      </c>
      <c r="I43" s="3195" t="s">
        <v>2816</v>
      </c>
      <c r="J43" s="3195" t="s">
        <v>3511</v>
      </c>
      <c r="K43" s="3195">
        <v>3927.34</v>
      </c>
      <c r="L43" s="3195">
        <v>30.8</v>
      </c>
      <c r="M43" s="3195">
        <v>385</v>
      </c>
      <c r="N43" s="3195" t="s">
        <v>2816</v>
      </c>
      <c r="O43" s="3195" t="s">
        <v>3295</v>
      </c>
      <c r="P43" s="3195" t="s">
        <v>3512</v>
      </c>
    </row>
    <row r="44" spans="1:16">
      <c r="A44" s="3195" t="s">
        <v>3513</v>
      </c>
      <c r="B44" s="3195" t="s">
        <v>3292</v>
      </c>
      <c r="C44" s="3195" t="s">
        <v>3514</v>
      </c>
      <c r="D44" s="3195" t="s">
        <v>3503</v>
      </c>
      <c r="E44" s="3195">
        <v>65522</v>
      </c>
      <c r="F44" s="3195">
        <v>65522</v>
      </c>
      <c r="G44" s="3195" t="s">
        <v>3515</v>
      </c>
      <c r="H44" s="3195" t="s">
        <v>3516</v>
      </c>
      <c r="I44" s="3195" t="s">
        <v>2816</v>
      </c>
      <c r="J44" s="3195" t="s">
        <v>3517</v>
      </c>
      <c r="K44" s="3195">
        <v>3027.11</v>
      </c>
      <c r="L44" s="3195">
        <v>30.8</v>
      </c>
      <c r="M44" s="3195">
        <v>462</v>
      </c>
      <c r="N44" s="3195">
        <v>0</v>
      </c>
      <c r="O44" s="3195" t="s">
        <v>3295</v>
      </c>
      <c r="P44" s="3195" t="s">
        <v>3303</v>
      </c>
    </row>
    <row r="45" spans="1:16">
      <c r="A45" s="3195" t="s">
        <v>3518</v>
      </c>
      <c r="B45" s="3195" t="s">
        <v>3292</v>
      </c>
      <c r="C45" s="3195" t="s">
        <v>3519</v>
      </c>
      <c r="D45" s="3195" t="s">
        <v>3520</v>
      </c>
      <c r="E45" s="3195">
        <v>55250</v>
      </c>
      <c r="F45" s="3195">
        <v>55250</v>
      </c>
      <c r="G45" s="3195" t="s">
        <v>3521</v>
      </c>
      <c r="H45" s="3195" t="s">
        <v>3522</v>
      </c>
      <c r="I45" s="3195" t="s">
        <v>2816</v>
      </c>
      <c r="J45" s="3195" t="s">
        <v>3523</v>
      </c>
      <c r="K45" s="3195">
        <v>2320.5</v>
      </c>
      <c r="L45" s="3195">
        <v>28</v>
      </c>
      <c r="M45" s="3195">
        <v>420</v>
      </c>
      <c r="N45" s="3195">
        <v>0</v>
      </c>
      <c r="O45" s="3195" t="s">
        <v>3524</v>
      </c>
      <c r="P45" s="3195" t="s">
        <v>3303</v>
      </c>
    </row>
    <row r="46" spans="1:16">
      <c r="A46" s="3195" t="s">
        <v>3525</v>
      </c>
      <c r="B46" s="3195" t="s">
        <v>3292</v>
      </c>
      <c r="C46" s="3195" t="s">
        <v>3526</v>
      </c>
      <c r="D46" s="3195" t="s">
        <v>923</v>
      </c>
      <c r="E46" s="3195">
        <v>33333</v>
      </c>
      <c r="F46" s="3195">
        <v>33333</v>
      </c>
      <c r="G46" s="3195" t="s">
        <v>3521</v>
      </c>
      <c r="H46" s="3195" t="s">
        <v>3527</v>
      </c>
      <c r="I46" s="3195" t="s">
        <v>2816</v>
      </c>
      <c r="J46" s="3195" t="s">
        <v>3528</v>
      </c>
      <c r="K46" s="3195">
        <v>1499.99</v>
      </c>
      <c r="L46" s="3195">
        <v>30</v>
      </c>
      <c r="M46" s="3195">
        <v>450</v>
      </c>
      <c r="N46" s="3195">
        <v>0</v>
      </c>
      <c r="O46" s="3195" t="s">
        <v>3295</v>
      </c>
      <c r="P46" s="3195" t="s">
        <v>3512</v>
      </c>
    </row>
  </sheetData>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K3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55685</v>
      </c>
      <c r="C2" s="2088"/>
      <c r="D2" s="2088"/>
      <c r="E2" s="2088"/>
      <c r="F2" s="2088"/>
      <c r="G2" s="2088"/>
      <c r="H2" s="2088"/>
      <c r="I2" s="2088"/>
      <c r="J2" s="2088"/>
      <c r="K2" s="2088"/>
    </row>
    <row r="3" spans="1:31" s="2025" customFormat="1" ht="18" customHeight="1">
      <c r="A3" s="2090" t="s">
        <v>1684</v>
      </c>
      <c r="B3" s="2091">
        <f ca="1">ROUND(B2*10000/IF(B1="",'数据-汇总表'!E3,INDIRECT("'数据-取费表'!K"&amp;$K$1)),0)</f>
        <v>1788</v>
      </c>
      <c r="C3" s="2088"/>
      <c r="D3" s="2088"/>
      <c r="E3" s="2088"/>
      <c r="F3" s="2088"/>
      <c r="G3" s="2088"/>
      <c r="H3" s="2088"/>
      <c r="I3" s="2088"/>
      <c r="J3" s="2088"/>
      <c r="K3" s="2088"/>
    </row>
    <row r="4" spans="1:31" s="2025" customFormat="1" ht="18" customHeight="1">
      <c r="A4" s="426" t="s">
        <v>468</v>
      </c>
      <c r="B4" s="427">
        <f ca="1">ROUND(B2*10000/IF(B1="",'数据-汇总表'!D3,INDIRECT("'数据-取费表'!R"&amp;$K$1)),0)</f>
        <v>2146</v>
      </c>
      <c r="C4" s="428"/>
      <c r="D4" s="422"/>
      <c r="E4" s="422"/>
      <c r="F4" s="422"/>
      <c r="G4" s="422"/>
      <c r="H4" s="422"/>
      <c r="I4" s="422"/>
      <c r="J4" s="422"/>
      <c r="K4" s="422"/>
    </row>
    <row r="5" spans="1:31" s="2025" customFormat="1" ht="18" customHeight="1" thickBot="1">
      <c r="A5" s="429"/>
      <c r="B5" s="430">
        <f ca="1">ROUND(B2/(IF(B1="",'数据-汇总表'!D3,INDIRECT("'数据-取费表'!R"&amp;$K$1))/666.67),0)</f>
        <v>143</v>
      </c>
      <c r="C5" s="431" t="s">
        <v>469</v>
      </c>
      <c r="D5" s="422"/>
      <c r="E5" s="422"/>
      <c r="F5" s="422"/>
      <c r="G5" s="422"/>
      <c r="H5" s="422"/>
      <c r="I5" s="422"/>
      <c r="J5" s="422"/>
      <c r="K5" s="422"/>
    </row>
    <row r="6" spans="1:31" s="2095" customFormat="1" ht="16.5" customHeight="1">
      <c r="A6" s="2782" t="s">
        <v>1842</v>
      </c>
      <c r="B6" s="2783"/>
      <c r="C6" s="2784">
        <f ca="1">SUM(C10:K10)</f>
        <v>279789</v>
      </c>
      <c r="D6" s="2783"/>
      <c r="E6" s="2783"/>
      <c r="F6" s="2783"/>
      <c r="G6" s="2783"/>
      <c r="H6" s="2783"/>
      <c r="I6" s="2783"/>
      <c r="J6" s="2783"/>
      <c r="K6" s="2785"/>
    </row>
    <row r="7" spans="1:31" s="2097" customFormat="1" ht="15">
      <c r="A7" s="2786" t="s">
        <v>470</v>
      </c>
      <c r="B7" s="2787" t="s">
        <v>471</v>
      </c>
      <c r="C7" s="436" t="s">
        <v>3259</v>
      </c>
      <c r="D7" s="436" t="s">
        <v>3269</v>
      </c>
      <c r="E7" s="436" t="s">
        <v>3261</v>
      </c>
      <c r="F7" s="436" t="s">
        <v>3263</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8985</v>
      </c>
      <c r="D8" s="2788">
        <f>F8*1.2</f>
        <v>10772.4</v>
      </c>
      <c r="E8" s="2788">
        <f>F8*1.1</f>
        <v>9874.7000000000007</v>
      </c>
      <c r="F8" s="2788">
        <f>'不动产比较法-住宅'!B3</f>
        <v>8977</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311402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279789</v>
      </c>
      <c r="D10" s="2980">
        <f>ROUND(D8*D9/10000,0)</f>
        <v>0</v>
      </c>
      <c r="E10" s="2980">
        <f t="shared" ref="E10:F10" si="0">ROUND(E8*E9/10000,0)</f>
        <v>0</v>
      </c>
      <c r="F10" s="2980">
        <f t="shared" si="0"/>
        <v>0</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108991</v>
      </c>
      <c r="D13" s="2798"/>
      <c r="E13" s="2799"/>
      <c r="F13" s="2800"/>
      <c r="G13" s="2766"/>
      <c r="H13" s="2767"/>
      <c r="I13" s="2767"/>
      <c r="J13" s="2767"/>
      <c r="K13" s="2768"/>
    </row>
    <row r="14" spans="1:31" s="2100" customFormat="1" ht="13.5" customHeight="1">
      <c r="A14" s="2796" t="s">
        <v>1849</v>
      </c>
      <c r="B14" s="2797" t="s">
        <v>480</v>
      </c>
      <c r="C14" s="53">
        <f ca="1">ROUND(C13*F14,0)</f>
        <v>5450</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7785</v>
      </c>
      <c r="D16" s="2798">
        <f ca="1">IF(B1="",'数据-汇总表'!E3,INDIRECT("'数据-取费表'!K"&amp;$K$1)+INDIRECT("'数据-取费表'!S"&amp;$K$1))</f>
        <v>311402</v>
      </c>
      <c r="E16" s="53">
        <f>'数据-取费表'!B35</f>
        <v>250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1635</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123861</v>
      </c>
      <c r="D18" s="2807"/>
      <c r="E18" s="468"/>
      <c r="F18" s="468"/>
      <c r="G18" s="2770" t="s">
        <v>2429</v>
      </c>
      <c r="H18" s="2771"/>
      <c r="I18" s="2771"/>
      <c r="J18" s="2771"/>
      <c r="K18" s="2772"/>
    </row>
    <row r="19" spans="1:14" s="2100" customFormat="1" ht="13.5" customHeight="1">
      <c r="A19" s="2804" t="s">
        <v>1854</v>
      </c>
      <c r="B19" s="2805" t="s">
        <v>488</v>
      </c>
      <c r="C19" s="2762">
        <f ca="1">ROUND(D19*E19/10000,0)</f>
        <v>4671</v>
      </c>
      <c r="D19" s="2808">
        <f ca="1">D16</f>
        <v>311402</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12456</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400</v>
      </c>
      <c r="F21" s="2801"/>
      <c r="G21" s="26"/>
      <c r="H21" s="51"/>
      <c r="I21" s="51"/>
      <c r="J21" s="51"/>
      <c r="K21" s="2773"/>
    </row>
    <row r="22" spans="1:14" s="2100" customFormat="1" ht="13.5" customHeight="1">
      <c r="A22" s="2796" t="s">
        <v>1857</v>
      </c>
      <c r="B22" s="2797" t="s">
        <v>492</v>
      </c>
      <c r="C22" s="53">
        <f ca="1">ROUND(D22*E22/10000,0)</f>
        <v>12456</v>
      </c>
      <c r="D22" s="2798">
        <f ca="1">IF(B1="",'数据-汇总表'!E6,IF(INDIRECT("'数据-取费表'!c"&amp;$K$1)="住宅",INDIRECT("'数据-取费表'!s"&amp;$K$1),INDIRECT("'数据-取费表'!k"&amp;$K$1)+INDIRECT("'数据-取费表'!s"&amp;$K$1)))</f>
        <v>311402</v>
      </c>
      <c r="E22" s="53">
        <f>'数据-取费表'!B28</f>
        <v>400</v>
      </c>
      <c r="F22" s="2801"/>
      <c r="G22" s="26"/>
      <c r="H22" s="51"/>
      <c r="I22" s="51"/>
      <c r="J22" s="51"/>
      <c r="K22" s="2773"/>
    </row>
    <row r="23" spans="1:14" s="2100" customFormat="1" ht="13.5" customHeight="1">
      <c r="A23" s="2804" t="s">
        <v>1858</v>
      </c>
      <c r="B23" s="2986" t="s">
        <v>2832</v>
      </c>
      <c r="C23" s="2806">
        <f ca="1">ROUND((C18+C19+C20)*F23,0)</f>
        <v>2820</v>
      </c>
      <c r="D23" s="468"/>
      <c r="E23" s="468"/>
      <c r="F23" s="2810">
        <f>'数据-取费表'!B37</f>
        <v>0.02</v>
      </c>
      <c r="G23" s="2766" t="s">
        <v>2430</v>
      </c>
      <c r="H23" s="2767"/>
      <c r="I23" s="2767"/>
      <c r="J23" s="2767"/>
      <c r="K23" s="2768"/>
      <c r="L23" s="2102"/>
      <c r="M23" s="2102"/>
      <c r="N23" s="2102"/>
    </row>
    <row r="24" spans="1:14" s="2100" customFormat="1" ht="13.5" customHeight="1">
      <c r="A24" s="2804" t="s">
        <v>1859</v>
      </c>
      <c r="B24" s="2986" t="s">
        <v>2835</v>
      </c>
      <c r="C24" s="2806">
        <f ca="1">ROUND(C6*F24,0)</f>
        <v>8394</v>
      </c>
      <c r="D24" s="475"/>
      <c r="E24" s="473"/>
      <c r="F24" s="2810">
        <f>'数据-取费表'!B38</f>
        <v>0.03</v>
      </c>
      <c r="G24" s="2775" t="s">
        <v>499</v>
      </c>
      <c r="H24" s="2769"/>
      <c r="I24" s="2769"/>
      <c r="J24" s="2769"/>
      <c r="K24" s="279"/>
      <c r="L24" s="2102"/>
      <c r="M24" s="2102"/>
      <c r="N24" s="2102"/>
    </row>
    <row r="25" spans="1:14" s="2103" customFormat="1" ht="13.5" customHeight="1">
      <c r="A25" s="2804" t="s">
        <v>1860</v>
      </c>
      <c r="B25" s="2986" t="s">
        <v>2833</v>
      </c>
      <c r="C25" s="467">
        <f>ROUND(F25/(1+'数据-取费表'!C42),4)</f>
        <v>3.8600000000000002E-2</v>
      </c>
      <c r="D25" s="462" t="s">
        <v>2827</v>
      </c>
      <c r="E25" s="469"/>
      <c r="F25" s="2810">
        <f>'数据-取费表'!B48+'数据-取费表'!B49</f>
        <v>4.0500000000000001E-2</v>
      </c>
      <c r="G25" s="2774" t="s">
        <v>2289</v>
      </c>
      <c r="H25" s="2767"/>
      <c r="I25" s="2767"/>
      <c r="J25" s="2767"/>
      <c r="K25" s="2768"/>
    </row>
    <row r="26" spans="1:14" s="2102" customFormat="1" ht="13.5" customHeight="1">
      <c r="A26" s="2804" t="s">
        <v>1861</v>
      </c>
      <c r="B26" s="2987" t="s">
        <v>2834</v>
      </c>
      <c r="C26" s="2811">
        <f ca="1">C28</f>
        <v>18723</v>
      </c>
      <c r="D26" s="467">
        <f ca="1">C27</f>
        <v>0.2712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0.2712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18723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14922</v>
      </c>
      <c r="D29" s="468"/>
      <c r="E29" s="468"/>
      <c r="F29" s="2988">
        <f>'数据-取费表'!B41</f>
        <v>5.6000000000000001E-2</v>
      </c>
      <c r="G29" s="2775" t="s">
        <v>498</v>
      </c>
      <c r="H29" s="2767"/>
      <c r="I29" s="2767"/>
      <c r="J29" s="2767"/>
      <c r="K29" s="2768"/>
    </row>
    <row r="30" spans="1:14" s="2105" customFormat="1" ht="13.5" customHeight="1">
      <c r="A30" s="1620" t="s">
        <v>1863</v>
      </c>
      <c r="B30" s="2816" t="s">
        <v>500</v>
      </c>
      <c r="C30" s="2811">
        <f ca="1">C31</f>
        <v>185847</v>
      </c>
      <c r="D30" s="477">
        <f ca="1">C32</f>
        <v>0.30980000000000002</v>
      </c>
      <c r="E30" s="469" t="s">
        <v>495</v>
      </c>
      <c r="F30" s="471"/>
      <c r="G30" s="2774" t="s">
        <v>2971</v>
      </c>
      <c r="H30" s="2767"/>
      <c r="I30" s="2767"/>
      <c r="J30" s="2767"/>
      <c r="K30" s="2768"/>
    </row>
    <row r="31" spans="1:14" s="2104" customFormat="1" ht="13.5" customHeight="1">
      <c r="A31" s="803" t="s">
        <v>1856</v>
      </c>
      <c r="B31" s="2812"/>
      <c r="C31" s="450">
        <f ca="1">C18+C19+C20+C23+C24+C26+C29</f>
        <v>185847</v>
      </c>
      <c r="D31" s="472"/>
      <c r="E31" s="473"/>
      <c r="F31" s="474"/>
      <c r="G31" s="261"/>
      <c r="H31" s="2769"/>
      <c r="I31" s="2769"/>
      <c r="J31" s="2769"/>
      <c r="K31" s="279"/>
    </row>
    <row r="32" spans="1:14" s="2104" customFormat="1" ht="13.5" customHeight="1">
      <c r="A32" s="803" t="s">
        <v>1857</v>
      </c>
      <c r="B32" s="2812"/>
      <c r="C32" s="53">
        <f ca="1">ROUND(C25+D26,4)</f>
        <v>0.30980000000000002</v>
      </c>
      <c r="D32" s="472"/>
      <c r="E32" s="473"/>
      <c r="F32" s="474"/>
      <c r="G32" s="261"/>
      <c r="H32" s="2769"/>
      <c r="I32" s="2769"/>
      <c r="J32" s="2769"/>
      <c r="K32" s="279"/>
    </row>
    <row r="33" spans="1:11" s="2106" customFormat="1" ht="13.5" customHeight="1">
      <c r="A33" s="2985" t="s">
        <v>2831</v>
      </c>
      <c r="B33" s="2983" t="s">
        <v>2829</v>
      </c>
      <c r="C33" s="478">
        <f ca="1">C35</f>
        <v>15220</v>
      </c>
      <c r="D33" s="467">
        <f ca="1">C34</f>
        <v>0.10390000000000001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0.10390000000000001</v>
      </c>
      <c r="D34" s="472"/>
      <c r="E34" s="473"/>
      <c r="F34" s="480"/>
      <c r="G34" s="261" t="s">
        <v>2290</v>
      </c>
      <c r="H34" s="2769"/>
      <c r="I34" s="2769"/>
      <c r="J34" s="2769"/>
      <c r="K34" s="279"/>
    </row>
    <row r="35" spans="1:11" s="2107" customFormat="1" ht="13.5" customHeight="1" thickBot="1">
      <c r="A35" s="1621" t="s">
        <v>1857</v>
      </c>
      <c r="B35" s="2984" t="s">
        <v>2837</v>
      </c>
      <c r="C35" s="1613">
        <f ca="1">ROUND((C18+C19+C20+C23+C24)*F33,0)</f>
        <v>15220</v>
      </c>
      <c r="D35" s="1614"/>
      <c r="E35" s="2818"/>
      <c r="F35" s="1615"/>
      <c r="G35" s="2776"/>
      <c r="H35" s="2777"/>
      <c r="I35" s="2777"/>
      <c r="J35" s="2777"/>
      <c r="K35" s="2778"/>
    </row>
    <row r="36" spans="1:11" s="2069" customFormat="1" ht="13.5" customHeight="1" thickBot="1">
      <c r="A36" s="284" t="s">
        <v>1844</v>
      </c>
      <c r="B36" s="2780"/>
      <c r="C36" s="2819">
        <f ca="1">ROUND((C6-C30-C33)/(1+D30+D33),0)</f>
        <v>55685</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526" t="s">
        <v>2470</v>
      </c>
      <c r="B1" s="3527"/>
      <c r="C1" s="3528"/>
      <c r="D1" s="3529">
        <f>SUM(I10,I15,I20,I21,I23)</f>
        <v>0</v>
      </c>
      <c r="E1" s="3529"/>
      <c r="F1" s="3529"/>
      <c r="G1" s="3529"/>
      <c r="H1" s="3529"/>
      <c r="I1" s="3530"/>
    </row>
    <row r="2" spans="1:9">
      <c r="A2" s="3531" t="s">
        <v>2471</v>
      </c>
      <c r="B2" s="3532" t="s">
        <v>2472</v>
      </c>
      <c r="C2" s="3532"/>
      <c r="D2" s="2470" t="s">
        <v>2473</v>
      </c>
      <c r="E2" s="2470" t="s">
        <v>2474</v>
      </c>
      <c r="F2" s="2470" t="s">
        <v>2475</v>
      </c>
      <c r="G2" s="2470" t="s">
        <v>2476</v>
      </c>
      <c r="H2" s="2470" t="s">
        <v>2477</v>
      </c>
      <c r="I2" s="2471" t="s">
        <v>2478</v>
      </c>
    </row>
    <row r="3" spans="1:9">
      <c r="A3" s="3531"/>
      <c r="B3" s="3532" t="s">
        <v>2479</v>
      </c>
      <c r="C3" s="3532"/>
      <c r="D3" s="2472"/>
      <c r="E3" s="2470"/>
      <c r="F3" s="2473"/>
      <c r="G3" s="2473"/>
      <c r="H3" s="2474"/>
      <c r="I3" s="2475">
        <f>ROUND(D3*E3*F3*G3*H3/10000,0)</f>
        <v>0</v>
      </c>
    </row>
    <row r="4" spans="1:9">
      <c r="A4" s="3531"/>
      <c r="B4" s="3532" t="s">
        <v>2480</v>
      </c>
      <c r="C4" s="3532"/>
      <c r="D4" s="2472"/>
      <c r="E4" s="2470"/>
      <c r="F4" s="2473"/>
      <c r="G4" s="2473"/>
      <c r="H4" s="2474"/>
      <c r="I4" s="2475">
        <f t="shared" ref="I4:I9" si="0">ROUND(D4*E4*F4*G4*H4/10000,0)</f>
        <v>0</v>
      </c>
    </row>
    <row r="5" spans="1:9">
      <c r="A5" s="3531"/>
      <c r="B5" s="3532" t="s">
        <v>2481</v>
      </c>
      <c r="C5" s="3532"/>
      <c r="D5" s="2472"/>
      <c r="E5" s="2470"/>
      <c r="F5" s="2473"/>
      <c r="G5" s="2473"/>
      <c r="H5" s="2474"/>
      <c r="I5" s="2475">
        <f t="shared" si="0"/>
        <v>0</v>
      </c>
    </row>
    <row r="6" spans="1:9">
      <c r="A6" s="3531"/>
      <c r="B6" s="3532" t="s">
        <v>2482</v>
      </c>
      <c r="C6" s="3532"/>
      <c r="D6" s="2472"/>
      <c r="E6" s="2470"/>
      <c r="F6" s="2473"/>
      <c r="G6" s="2473"/>
      <c r="H6" s="2474"/>
      <c r="I6" s="2475">
        <f t="shared" si="0"/>
        <v>0</v>
      </c>
    </row>
    <row r="7" spans="1:9">
      <c r="A7" s="3531"/>
      <c r="B7" s="3532" t="s">
        <v>2483</v>
      </c>
      <c r="C7" s="3532"/>
      <c r="D7" s="2472"/>
      <c r="E7" s="2470"/>
      <c r="F7" s="2473"/>
      <c r="G7" s="2473"/>
      <c r="H7" s="2474"/>
      <c r="I7" s="2475">
        <f t="shared" si="0"/>
        <v>0</v>
      </c>
    </row>
    <row r="8" spans="1:9">
      <c r="A8" s="3531"/>
      <c r="B8" s="3532" t="s">
        <v>2484</v>
      </c>
      <c r="C8" s="3532"/>
      <c r="D8" s="2472"/>
      <c r="E8" s="2470"/>
      <c r="F8" s="2473"/>
      <c r="G8" s="2473"/>
      <c r="H8" s="2474"/>
      <c r="I8" s="2475">
        <f t="shared" si="0"/>
        <v>0</v>
      </c>
    </row>
    <row r="9" spans="1:9">
      <c r="A9" s="3531"/>
      <c r="B9" s="3532" t="s">
        <v>2485</v>
      </c>
      <c r="C9" s="3532"/>
      <c r="D9" s="2472"/>
      <c r="E9" s="2470"/>
      <c r="F9" s="2473"/>
      <c r="G9" s="2473"/>
      <c r="H9" s="2474"/>
      <c r="I9" s="2475">
        <f t="shared" si="0"/>
        <v>0</v>
      </c>
    </row>
    <row r="10" spans="1:9">
      <c r="A10" s="3531"/>
      <c r="B10" s="3533" t="s">
        <v>2486</v>
      </c>
      <c r="C10" s="3533"/>
      <c r="D10" s="2476">
        <v>527</v>
      </c>
      <c r="E10" s="2476" t="e">
        <f>ROUND(D1*10000/D10/H9,0)</f>
        <v>#DIV/0!</v>
      </c>
      <c r="F10" s="2477"/>
      <c r="G10" s="2477"/>
      <c r="H10" s="2478"/>
      <c r="I10" s="2479">
        <f>SUM(I3:I9)</f>
        <v>0</v>
      </c>
    </row>
    <row r="11" spans="1:9" ht="14.25">
      <c r="A11" s="3531" t="s">
        <v>2487</v>
      </c>
      <c r="B11" s="3532" t="s">
        <v>2488</v>
      </c>
      <c r="C11" s="3532"/>
      <c r="D11" s="2472" t="s">
        <v>2489</v>
      </c>
      <c r="E11" s="2472" t="s">
        <v>2490</v>
      </c>
      <c r="F11" s="2473" t="s">
        <v>2491</v>
      </c>
      <c r="G11" s="2473" t="s">
        <v>2492</v>
      </c>
      <c r="H11" s="2480" t="s">
        <v>2493</v>
      </c>
      <c r="I11" s="2471" t="s">
        <v>2494</v>
      </c>
    </row>
    <row r="12" spans="1:9">
      <c r="A12" s="3531"/>
      <c r="B12" s="3532" t="s">
        <v>2495</v>
      </c>
      <c r="C12" s="3532"/>
      <c r="D12" s="2472"/>
      <c r="E12" s="2472"/>
      <c r="F12" s="2473"/>
      <c r="G12" s="2474"/>
      <c r="H12" s="2481"/>
      <c r="I12" s="2471">
        <f>ROUND(D12*E12*F12*G12/10000,0)</f>
        <v>0</v>
      </c>
    </row>
    <row r="13" spans="1:9">
      <c r="A13" s="3531"/>
      <c r="B13" s="3532" t="s">
        <v>2496</v>
      </c>
      <c r="C13" s="3532"/>
      <c r="D13" s="2472"/>
      <c r="E13" s="2472"/>
      <c r="F13" s="2473"/>
      <c r="G13" s="2474"/>
      <c r="H13" s="2481"/>
      <c r="I13" s="2471">
        <f>ROUND(D13*E13*F13*G13/10000,0)</f>
        <v>0</v>
      </c>
    </row>
    <row r="14" spans="1:9">
      <c r="A14" s="3531"/>
      <c r="B14" s="3532" t="s">
        <v>2497</v>
      </c>
      <c r="C14" s="3532"/>
      <c r="D14" s="2472"/>
      <c r="E14" s="2472"/>
      <c r="F14" s="2473"/>
      <c r="G14" s="2474"/>
      <c r="H14" s="2481"/>
      <c r="I14" s="2471">
        <f>ROUND(D14*E14*F14*G14/10000,0)</f>
        <v>0</v>
      </c>
    </row>
    <row r="15" spans="1:9">
      <c r="A15" s="3531"/>
      <c r="B15" s="3533" t="s">
        <v>2486</v>
      </c>
      <c r="C15" s="3533"/>
      <c r="D15" s="2476"/>
      <c r="E15" s="2476">
        <f>SUM(E12:E14)</f>
        <v>0</v>
      </c>
      <c r="F15" s="2477"/>
      <c r="G15" s="2474"/>
      <c r="H15" s="2481"/>
      <c r="I15" s="2482">
        <f>SUM(I12:I14)</f>
        <v>0</v>
      </c>
    </row>
    <row r="16" spans="1:9" ht="24">
      <c r="A16" s="3531" t="s">
        <v>2498</v>
      </c>
      <c r="B16" s="3532" t="s">
        <v>2499</v>
      </c>
      <c r="C16" s="3532"/>
      <c r="D16" s="2472" t="s">
        <v>2500</v>
      </c>
      <c r="E16" s="2483" t="s">
        <v>2501</v>
      </c>
      <c r="F16" s="2473" t="s">
        <v>2502</v>
      </c>
      <c r="G16" s="2474" t="s">
        <v>2492</v>
      </c>
      <c r="H16" s="2480" t="s">
        <v>2493</v>
      </c>
      <c r="I16" s="2471" t="s">
        <v>2494</v>
      </c>
    </row>
    <row r="17" spans="1:9" ht="14.25">
      <c r="A17" s="3531"/>
      <c r="B17" s="3532" t="s">
        <v>2503</v>
      </c>
      <c r="C17" s="3532"/>
      <c r="D17" s="2472"/>
      <c r="E17" s="2472"/>
      <c r="F17" s="2473"/>
      <c r="G17" s="2474"/>
      <c r="H17" s="2484"/>
      <c r="I17" s="2485">
        <f>ROUND(D17*E17*F17*G17/10000,0)</f>
        <v>0</v>
      </c>
    </row>
    <row r="18" spans="1:9" ht="14.25">
      <c r="A18" s="3531"/>
      <c r="B18" s="3532" t="s">
        <v>2504</v>
      </c>
      <c r="C18" s="3532"/>
      <c r="D18" s="2472"/>
      <c r="E18" s="2472"/>
      <c r="F18" s="2473"/>
      <c r="G18" s="2474"/>
      <c r="H18" s="2484"/>
      <c r="I18" s="2485">
        <f>ROUND(D18*E18*F18*G18/10000,0)</f>
        <v>0</v>
      </c>
    </row>
    <row r="19" spans="1:9" ht="14.25">
      <c r="A19" s="3531"/>
      <c r="B19" s="3532" t="s">
        <v>2505</v>
      </c>
      <c r="C19" s="3532"/>
      <c r="D19" s="2472"/>
      <c r="E19" s="2472"/>
      <c r="F19" s="2473"/>
      <c r="G19" s="2474"/>
      <c r="H19" s="2484"/>
      <c r="I19" s="2485">
        <f>ROUND(D19*E19*F19*G19/10000,0)</f>
        <v>0</v>
      </c>
    </row>
    <row r="20" spans="1:9">
      <c r="A20" s="3531"/>
      <c r="B20" s="3533" t="s">
        <v>2486</v>
      </c>
      <c r="C20" s="3533"/>
      <c r="D20" s="2476">
        <f>SUM(D17:D19)</f>
        <v>0</v>
      </c>
      <c r="E20" s="2476"/>
      <c r="F20" s="2477"/>
      <c r="G20" s="2474"/>
      <c r="H20" s="2481"/>
      <c r="I20" s="2482">
        <f>SUM(I17:I19)</f>
        <v>0</v>
      </c>
    </row>
    <row r="21" spans="1:9">
      <c r="A21" s="3531" t="s">
        <v>2506</v>
      </c>
      <c r="B21" s="3535"/>
      <c r="C21" s="3535"/>
      <c r="D21" s="3535"/>
      <c r="E21" s="3535"/>
      <c r="F21" s="3535"/>
      <c r="G21" s="3535"/>
      <c r="H21" s="2486">
        <v>0.1</v>
      </c>
      <c r="I21" s="2479">
        <f>ROUND(I10*H21,0)</f>
        <v>0</v>
      </c>
    </row>
    <row r="22" spans="1:9" ht="14.25">
      <c r="A22" s="3536" t="s">
        <v>2507</v>
      </c>
      <c r="B22" s="3537"/>
      <c r="C22" s="3538"/>
      <c r="D22" s="2487" t="s">
        <v>2508</v>
      </c>
      <c r="E22" s="2487" t="s">
        <v>2509</v>
      </c>
      <c r="F22" s="2488" t="s">
        <v>2510</v>
      </c>
      <c r="G22" s="2488" t="s">
        <v>2511</v>
      </c>
      <c r="H22" s="2480" t="s">
        <v>2512</v>
      </c>
      <c r="I22" s="2471" t="s">
        <v>2513</v>
      </c>
    </row>
    <row r="23" spans="1:9" ht="14.25" thickBot="1">
      <c r="A23" s="3539"/>
      <c r="B23" s="3540"/>
      <c r="C23" s="3541"/>
      <c r="D23" s="2489"/>
      <c r="E23" s="2489"/>
      <c r="F23" s="2489"/>
      <c r="G23" s="2490"/>
      <c r="H23" s="2491"/>
      <c r="I23" s="2492">
        <f>ROUND(E23*D23*F23*(1-G23)/10000,0)</f>
        <v>0</v>
      </c>
    </row>
    <row r="26" spans="1:9">
      <c r="A26" s="2493" t="s">
        <v>2514</v>
      </c>
      <c r="B26" s="2493"/>
      <c r="C26" s="2493"/>
      <c r="D26" s="2493"/>
      <c r="E26" s="3542">
        <f>C27-C30-C31-C32</f>
        <v>0</v>
      </c>
      <c r="F26" s="3542"/>
      <c r="G26" s="3542"/>
      <c r="H26" s="2994" t="s">
        <v>2841</v>
      </c>
    </row>
    <row r="27" spans="1:9">
      <c r="A27" s="2494">
        <v>1</v>
      </c>
      <c r="B27" s="2495" t="s">
        <v>2515</v>
      </c>
      <c r="C27" s="2495"/>
      <c r="D27" s="2495"/>
      <c r="E27" s="3543"/>
      <c r="F27" s="3543"/>
      <c r="G27" s="3543"/>
    </row>
    <row r="28" spans="1:9">
      <c r="A28" s="2496" t="s">
        <v>2516</v>
      </c>
      <c r="B28" s="2495" t="s">
        <v>2517</v>
      </c>
      <c r="C28" s="2495"/>
      <c r="D28" s="2495"/>
      <c r="E28" s="3543"/>
      <c r="F28" s="3543"/>
      <c r="G28" s="3543"/>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534"/>
      <c r="F32" s="3534"/>
      <c r="G32" s="3534"/>
    </row>
    <row r="33" spans="1:7" hidden="1">
      <c r="A33" s="3544" t="s">
        <v>2525</v>
      </c>
      <c r="B33" s="3545"/>
      <c r="C33" s="3545"/>
      <c r="D33" s="3546"/>
      <c r="E33" s="3542"/>
      <c r="F33" s="3542"/>
      <c r="G33" s="3542"/>
    </row>
    <row r="34" spans="1:7" hidden="1">
      <c r="A34" s="2498">
        <v>1</v>
      </c>
      <c r="B34" s="2495" t="s">
        <v>2526</v>
      </c>
      <c r="C34" s="2495"/>
      <c r="D34" s="2495"/>
      <c r="E34" s="3543"/>
      <c r="F34" s="3543"/>
      <c r="G34" s="3543"/>
    </row>
    <row r="35" spans="1:7" hidden="1">
      <c r="A35" s="2498">
        <v>2</v>
      </c>
      <c r="B35" s="2495" t="s">
        <v>2527</v>
      </c>
      <c r="C35" s="2495"/>
      <c r="D35" s="2495"/>
      <c r="E35" s="3543"/>
      <c r="F35" s="3543"/>
      <c r="G35" s="3543"/>
    </row>
    <row r="36" spans="1:7" hidden="1">
      <c r="A36" s="2498">
        <v>3</v>
      </c>
      <c r="B36" s="2495" t="s">
        <v>2528</v>
      </c>
      <c r="C36" s="2495"/>
      <c r="D36" s="2495"/>
      <c r="E36" s="3543"/>
      <c r="F36" s="3543"/>
      <c r="G36" s="3543"/>
    </row>
    <row r="37" spans="1:7" hidden="1">
      <c r="A37" s="2498">
        <v>4</v>
      </c>
      <c r="B37" s="2495" t="s">
        <v>2529</v>
      </c>
      <c r="C37" s="2495"/>
      <c r="D37" s="2495"/>
      <c r="E37" s="3543"/>
      <c r="F37" s="3543"/>
      <c r="G37" s="3543"/>
    </row>
    <row r="38" spans="1:7" hidden="1">
      <c r="A38" s="3544" t="s">
        <v>2530</v>
      </c>
      <c r="B38" s="3545"/>
      <c r="C38" s="3545"/>
      <c r="D38" s="3546"/>
      <c r="E38" s="3542"/>
      <c r="F38" s="3542"/>
      <c r="G38" s="35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613</v>
      </c>
      <c r="C10" s="749">
        <f>C11+C14+C15</f>
        <v>0</v>
      </c>
      <c r="D10" s="760">
        <f>'数据-汇总表'!E3</f>
        <v>311402</v>
      </c>
      <c r="E10" s="749">
        <f>'数据-取费表'!B31</f>
        <v>100</v>
      </c>
      <c r="F10" s="761"/>
      <c r="G10" s="759" t="s">
        <v>614</v>
      </c>
    </row>
    <row r="11" spans="1:25" s="2167" customFormat="1" ht="13.5" customHeight="1">
      <c r="A11" s="2432" t="s">
        <v>2439</v>
      </c>
      <c r="B11" s="752" t="s">
        <v>610</v>
      </c>
      <c r="C11" s="753">
        <f>'数据-取费表'!B29</f>
        <v>0</v>
      </c>
      <c r="D11" s="754"/>
      <c r="E11" s="753"/>
      <c r="F11" s="755"/>
      <c r="G11" s="2441" t="s">
        <v>2450</v>
      </c>
    </row>
    <row r="12" spans="1:25" s="2167" customFormat="1" ht="13.5" customHeight="1">
      <c r="A12" s="2439" t="s">
        <v>2447</v>
      </c>
      <c r="B12" s="756" t="s">
        <v>611</v>
      </c>
      <c r="C12" s="757">
        <f>ROUND(D12*E12/10000,0)</f>
        <v>0</v>
      </c>
      <c r="D12" s="758">
        <f>'数据-汇总表'!E5</f>
        <v>0</v>
      </c>
      <c r="E12" s="757">
        <f>'数据-取费表'!B27</f>
        <v>400</v>
      </c>
      <c r="F12" s="755"/>
      <c r="G12" s="759"/>
    </row>
    <row r="13" spans="1:25" s="2167" customFormat="1" ht="13.5" customHeight="1">
      <c r="A13" s="2439" t="s">
        <v>2446</v>
      </c>
      <c r="B13" s="756" t="s">
        <v>612</v>
      </c>
      <c r="C13" s="757">
        <f>ROUND(D13*E13/10000,0)</f>
        <v>12456</v>
      </c>
      <c r="D13" s="758">
        <f>'数据-汇总表'!E6</f>
        <v>311402</v>
      </c>
      <c r="E13" s="757">
        <f>'数据-取费表'!B28</f>
        <v>400</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615</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0.81399999999999995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6" sqref="C3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3259</v>
      </c>
      <c r="D1" s="3076" t="s">
        <v>3257</v>
      </c>
      <c r="E1" s="2350" t="s">
        <v>2373</v>
      </c>
      <c r="F1" s="2351">
        <f ca="1">J53</f>
        <v>29.47</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279789</v>
      </c>
      <c r="C2" s="2041"/>
      <c r="D2" s="2039"/>
      <c r="E2" s="2040"/>
      <c r="F2" s="2040"/>
      <c r="G2" s="1576"/>
      <c r="H2" s="2041"/>
      <c r="I2" s="2041"/>
      <c r="J2" s="2041"/>
      <c r="K2" s="2042"/>
      <c r="L2" s="2041"/>
      <c r="M2" s="2041"/>
    </row>
    <row r="3" spans="1:33" ht="18" customHeight="1" thickBot="1">
      <c r="A3" s="833" t="s">
        <v>1727</v>
      </c>
      <c r="B3" s="834">
        <f ca="1">IF(ISERROR(B2*10000/F43),0,ROUND(B2*10000/F43,0))</f>
        <v>8985</v>
      </c>
      <c r="C3" s="2041"/>
      <c r="D3" s="2039"/>
      <c r="E3" s="2040"/>
      <c r="F3" s="2040"/>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20459</v>
      </c>
      <c r="D5" s="2459" t="s">
        <v>2460</v>
      </c>
      <c r="E5" s="2453"/>
      <c r="F5" s="2454"/>
      <c r="G5" s="1578"/>
      <c r="H5" s="781">
        <v>1</v>
      </c>
      <c r="I5" s="782" t="s">
        <v>2457</v>
      </c>
      <c r="J5" s="55">
        <f ca="1">J6+J10+J12</f>
        <v>0</v>
      </c>
      <c r="K5" s="2459" t="s">
        <v>2460</v>
      </c>
      <c r="L5" s="2453"/>
      <c r="M5" s="2454"/>
    </row>
    <row r="6" spans="1:33" ht="18" customHeight="1">
      <c r="A6" s="1814" t="s">
        <v>1824</v>
      </c>
      <c r="B6" s="3520" t="s">
        <v>2462</v>
      </c>
      <c r="C6" s="783">
        <f ca="1">ROUND(F6*F8*F7*(1-F9)/10000,0)</f>
        <v>20459</v>
      </c>
      <c r="D6" s="2460" t="s">
        <v>2461</v>
      </c>
      <c r="E6" s="784" t="s">
        <v>1738</v>
      </c>
      <c r="F6" s="785">
        <f ca="1">INDIRECT("'数据-取费表'!u"&amp;$G$1)</f>
        <v>2</v>
      </c>
      <c r="G6" s="1578"/>
      <c r="H6" s="2467" t="s">
        <v>2467</v>
      </c>
      <c r="I6" s="3520" t="s">
        <v>2462</v>
      </c>
      <c r="J6" s="783">
        <f ca="1">ROUND(M6*M8*M7*(1-M9)/10000,0)</f>
        <v>0</v>
      </c>
      <c r="K6" s="341" t="s">
        <v>1737</v>
      </c>
      <c r="L6" s="784" t="s">
        <v>1738</v>
      </c>
      <c r="M6" s="785">
        <f ca="1">INDIRECT("'数据-取费表'!z"&amp;$G$1)</f>
        <v>0</v>
      </c>
    </row>
    <row r="7" spans="1:33" ht="18" customHeight="1">
      <c r="A7" s="2463"/>
      <c r="B7" s="3521"/>
      <c r="C7" s="788"/>
      <c r="D7" s="789"/>
      <c r="E7" s="784" t="s">
        <v>1739</v>
      </c>
      <c r="F7" s="785">
        <f ca="1">IF(INDIRECT("'数据-取费表'!ah"&amp;$G$1)="",INDIRECT("'数据-取费表'!k"&amp;$G$1),INDIRECT("'数据-取费表'!ah"&amp;$G$1))</f>
        <v>311402</v>
      </c>
      <c r="G7" s="1578"/>
      <c r="H7" s="2452"/>
      <c r="I7" s="3521"/>
      <c r="J7" s="788"/>
      <c r="K7" s="789"/>
      <c r="L7" s="784" t="s">
        <v>1739</v>
      </c>
      <c r="M7" s="785">
        <f ca="1">F7</f>
        <v>311402</v>
      </c>
    </row>
    <row r="8" spans="1:33" ht="18" customHeight="1">
      <c r="A8" s="2456"/>
      <c r="B8" s="3522"/>
      <c r="C8" s="788"/>
      <c r="D8" s="789"/>
      <c r="E8" s="784" t="s">
        <v>1740</v>
      </c>
      <c r="F8" s="785">
        <f ca="1">INDIRECT("'数据-取费表'!ai"&amp;$G$1)</f>
        <v>365</v>
      </c>
      <c r="G8" s="1578"/>
      <c r="H8" s="2452"/>
      <c r="I8" s="3522"/>
      <c r="J8" s="788"/>
      <c r="K8" s="789"/>
      <c r="L8" s="784" t="s">
        <v>1740</v>
      </c>
      <c r="M8" s="785">
        <f ca="1">INDIRECT("'数据-取费表'!ai"&amp;$G$1)</f>
        <v>365</v>
      </c>
    </row>
    <row r="9" spans="1:33" ht="18" customHeight="1">
      <c r="A9" s="786"/>
      <c r="B9" s="3523"/>
      <c r="C9" s="788"/>
      <c r="D9" s="789"/>
      <c r="E9" s="784" t="s">
        <v>1741</v>
      </c>
      <c r="F9" s="794">
        <f ca="1">INDIRECT("'数据-取费表'!w"&amp;$G$1)</f>
        <v>0.1</v>
      </c>
      <c r="G9" s="1578"/>
      <c r="H9" s="2468"/>
      <c r="I9" s="3522"/>
      <c r="J9" s="788"/>
      <c r="K9" s="789"/>
      <c r="L9" s="795" t="s">
        <v>1741</v>
      </c>
      <c r="M9" s="796">
        <f ca="1">INDIRECT("'数据-取费表'!ab"&amp;$G$1)</f>
        <v>0</v>
      </c>
    </row>
    <row r="10" spans="1:33" ht="18" customHeight="1">
      <c r="A10" s="1814" t="s">
        <v>2465</v>
      </c>
      <c r="B10" s="2457" t="s">
        <v>2458</v>
      </c>
      <c r="C10" s="799">
        <f ca="1">ROUND(IF(F10="押一",C6/12*F11,IF(F10="押二",C6/12*2*F11,IF(F10="押三",C6/12*3*F11,C11*F11))),0)</f>
        <v>0</v>
      </c>
      <c r="D10" s="2464" t="s">
        <v>2973</v>
      </c>
      <c r="E10" s="2461" t="s">
        <v>2463</v>
      </c>
      <c r="F10" s="2584"/>
      <c r="G10" s="1578"/>
      <c r="H10" s="2524" t="s">
        <v>2468</v>
      </c>
      <c r="I10" s="2529" t="s">
        <v>2458</v>
      </c>
      <c r="J10" s="783">
        <f ca="1">ROUND(IF(M10="押一",J6/12*M11,IF(M10="押二",J6/12*2*M11,IF(M10="押三",J6/12*3*M11,J11*M11))),0)</f>
        <v>0</v>
      </c>
      <c r="K10" s="2464" t="s">
        <v>2973</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3">
        <v>2</v>
      </c>
      <c r="B13" s="1811" t="s">
        <v>1742</v>
      </c>
      <c r="C13" s="792">
        <f ca="1">ROUND(C29*F13,0)</f>
        <v>169795</v>
      </c>
      <c r="D13" s="1818" t="s">
        <v>2297</v>
      </c>
      <c r="E13" s="1818" t="s">
        <v>1744</v>
      </c>
      <c r="F13" s="2499">
        <f ca="1">INDIRECT("'数据-取费表'!y"&amp;$G$1)</f>
        <v>1</v>
      </c>
      <c r="G13" s="1578"/>
      <c r="H13" s="1813">
        <v>2</v>
      </c>
      <c r="I13" s="1811" t="s">
        <v>1742</v>
      </c>
      <c r="J13" s="1803">
        <f ca="1">ROUND(J14*J15,0)</f>
        <v>0</v>
      </c>
      <c r="K13" s="1805" t="s">
        <v>1743</v>
      </c>
      <c r="L13" s="2515"/>
      <c r="M13" s="2516"/>
    </row>
    <row r="14" spans="1:33" ht="18" customHeight="1">
      <c r="A14" s="1633" t="s">
        <v>1884</v>
      </c>
      <c r="B14" s="784" t="s">
        <v>645</v>
      </c>
      <c r="C14" s="804">
        <f ca="1">INDIRECT("'数据-取费表'!m"&amp;$G$1)+INDIRECT("'数据-取费表'!t"&amp;$G$1)</f>
        <v>108991</v>
      </c>
      <c r="D14" s="1963" t="s">
        <v>1745</v>
      </c>
      <c r="E14" s="1964"/>
      <c r="F14" s="805"/>
      <c r="G14" s="1578"/>
      <c r="H14" s="1634" t="s">
        <v>1830</v>
      </c>
      <c r="I14" s="2215" t="s">
        <v>2824</v>
      </c>
      <c r="J14" s="53">
        <f ca="1">C29</f>
        <v>169795</v>
      </c>
      <c r="K14" s="26"/>
      <c r="L14" s="801"/>
      <c r="M14" s="802"/>
    </row>
    <row r="15" spans="1:33" s="2048" customFormat="1" ht="18" customHeight="1" thickBot="1">
      <c r="A15" s="1633" t="s">
        <v>1885</v>
      </c>
      <c r="B15" s="784" t="s">
        <v>647</v>
      </c>
      <c r="C15" s="53">
        <f ca="1">ROUND(C14*F15,0)</f>
        <v>5450</v>
      </c>
      <c r="D15" s="806" t="s">
        <v>1746</v>
      </c>
      <c r="E15" s="806" t="s">
        <v>1747</v>
      </c>
      <c r="F15" s="807">
        <f>'数据-取费表'!B33</f>
        <v>0.05</v>
      </c>
      <c r="G15" s="1579"/>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3" t="s">
        <v>1748</v>
      </c>
      <c r="I16" s="1811" t="s">
        <v>1749</v>
      </c>
      <c r="J16" s="792">
        <f ca="1">ROUND(J17+J22+J23+J24,0)</f>
        <v>16914</v>
      </c>
      <c r="K16" s="1805" t="s">
        <v>1750</v>
      </c>
      <c r="L16" s="2449"/>
      <c r="M16" s="2454"/>
    </row>
    <row r="17" spans="1:33" s="2048" customFormat="1" ht="18" customHeight="1">
      <c r="A17" s="1633" t="s">
        <v>1887</v>
      </c>
      <c r="B17" s="784" t="s">
        <v>653</v>
      </c>
      <c r="C17" s="53">
        <f ca="1">ROUND(F17*(F43+INDIRECT("'数据-取费表'!S"&amp;$G$1))/10000,0)</f>
        <v>7785</v>
      </c>
      <c r="D17" s="784" t="s">
        <v>1751</v>
      </c>
      <c r="E17" s="784" t="s">
        <v>1752</v>
      </c>
      <c r="F17" s="56">
        <f>'数据-取费表'!B35</f>
        <v>250</v>
      </c>
      <c r="G17" s="1579"/>
      <c r="H17" s="1634" t="s">
        <v>1830</v>
      </c>
      <c r="I17" s="784" t="s">
        <v>656</v>
      </c>
      <c r="J17" s="53">
        <f ca="1">ROUND(IF(项目基本情况!B11="自然人",J5*M17,J18+J19+J20),0)</f>
        <v>14367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84" t="s">
        <v>659</v>
      </c>
      <c r="C18" s="53">
        <f ca="1">ROUND(C14*F18,0)</f>
        <v>1635</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84" t="s">
        <v>662</v>
      </c>
      <c r="C19" s="53">
        <f ca="1">SUM(C14:C18)</f>
        <v>123861</v>
      </c>
      <c r="D19" s="261" t="s">
        <v>1757</v>
      </c>
      <c r="E19" s="1966"/>
      <c r="F19" s="56"/>
      <c r="G19" s="1578"/>
      <c r="H19" s="1633" t="s">
        <v>1885</v>
      </c>
      <c r="I19" s="784" t="s">
        <v>1758</v>
      </c>
      <c r="J19" s="53">
        <f ca="1">IF(K19="按租金收入计税",ROUND(J5*M19,1),ROUND(C29*F33*0.7,1))</f>
        <v>14262.8</v>
      </c>
      <c r="K19" s="811" t="s">
        <v>665</v>
      </c>
      <c r="L19" s="784" t="s">
        <v>1747</v>
      </c>
      <c r="M19" s="809">
        <f>IF(K19="按租金收入计税",'数据-取费表'!B51,'数据-取费表'!B50)</f>
        <v>1.2E-2</v>
      </c>
    </row>
    <row r="20" spans="1:33" s="2048" customFormat="1" ht="18" customHeight="1">
      <c r="A20" s="1634" t="s">
        <v>1889</v>
      </c>
      <c r="B20" s="784" t="s">
        <v>666</v>
      </c>
      <c r="C20" s="53">
        <f ca="1">ROUND(C19*F20,0)</f>
        <v>2477</v>
      </c>
      <c r="D20" s="812" t="s">
        <v>1759</v>
      </c>
      <c r="E20" s="784" t="s">
        <v>1747</v>
      </c>
      <c r="F20" s="809">
        <f>'数据-取费表'!B37</f>
        <v>0.02</v>
      </c>
      <c r="G20" s="1579"/>
      <c r="H20" s="1636" t="s">
        <v>1880</v>
      </c>
      <c r="I20" s="341" t="s">
        <v>1760</v>
      </c>
      <c r="J20" s="54">
        <f ca="1">ROUND(M20*M21/10000,0)</f>
        <v>104</v>
      </c>
      <c r="K20" s="814" t="s">
        <v>1761</v>
      </c>
      <c r="L20" s="784" t="s">
        <v>1762</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84" t="s">
        <v>1763</v>
      </c>
      <c r="C21" s="53" t="s">
        <v>1764</v>
      </c>
      <c r="D21" s="812" t="s">
        <v>2298</v>
      </c>
      <c r="E21" s="784" t="s">
        <v>1765</v>
      </c>
      <c r="F21" s="809">
        <f>'数据-取费表'!B38</f>
        <v>0.03</v>
      </c>
      <c r="G21" s="1579"/>
      <c r="H21" s="2469"/>
      <c r="I21" s="793"/>
      <c r="J21" s="69"/>
      <c r="K21" s="816"/>
      <c r="L21" s="784" t="s">
        <v>1766</v>
      </c>
      <c r="M21" s="785">
        <f ca="1">INDIRECT("'数据-取费表'!r"&amp;$G$1)</f>
        <v>259503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6"/>
      <c r="F22" s="56"/>
      <c r="G22" s="1578"/>
      <c r="H22" s="1634" t="s">
        <v>1889</v>
      </c>
      <c r="I22" s="784" t="s">
        <v>1768</v>
      </c>
      <c r="J22" s="53">
        <f ca="1">ROUND(J14*M22,0)</f>
        <v>2547</v>
      </c>
      <c r="K22" s="2447" t="s">
        <v>1769</v>
      </c>
      <c r="L22" s="784" t="s">
        <v>1747</v>
      </c>
      <c r="M22" s="817">
        <f ca="1">INDIRECT("'数据-取费表'!Ak"&amp;$G$1)</f>
        <v>1.4999999999999999E-2</v>
      </c>
    </row>
    <row r="23" spans="1:33" s="2048" customFormat="1" ht="18" customHeight="1">
      <c r="A23" s="1633" t="s">
        <v>1831</v>
      </c>
      <c r="B23" s="784" t="s">
        <v>2534</v>
      </c>
      <c r="C23" s="53">
        <f ca="1">ROUND(IF('数据-取费表'!B22&lt;=1,(C19+C20)*F24*F23/2,(C19+C20)*(POWER((1+F24),F23/2)-1)),0)</f>
        <v>15541</v>
      </c>
      <c r="D23" s="2534" t="str">
        <f>IF(F23&lt;=1,"(建造成本+管理费用)×利率×(建设周期÷2)","(建造成本+管理费用)×((1+利率)^(建设周期÷2)-1)")</f>
        <v>(建造成本+管理费用)×((1+利率)^(建设周期÷2)-1)</v>
      </c>
      <c r="E23" s="784" t="s">
        <v>1770</v>
      </c>
      <c r="F23" s="640">
        <f>'数据-取费表'!B20</f>
        <v>5</v>
      </c>
      <c r="G23" s="1579"/>
      <c r="H23" s="1634"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84" t="s">
        <v>1772</v>
      </c>
      <c r="C24" s="53">
        <f ca="1">ROUND(IF('数据-取费表'!B22&lt;=1,F21*F24*F23/2,F21*(POWER((1+F24),F23/2)-1)),4)</f>
        <v>3.7000000000000002E-3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84" t="s">
        <v>684</v>
      </c>
      <c r="C25" s="53"/>
      <c r="D25" s="261" t="s">
        <v>1775</v>
      </c>
      <c r="E25" s="1966"/>
      <c r="F25" s="56"/>
      <c r="G25" s="1578"/>
      <c r="H25" s="1813" t="s">
        <v>1776</v>
      </c>
      <c r="I25" s="2961" t="s">
        <v>2820</v>
      </c>
      <c r="J25" s="792">
        <f ca="1">J5-J16</f>
        <v>-16914</v>
      </c>
      <c r="K25" s="2511" t="s">
        <v>1777</v>
      </c>
      <c r="L25" s="2512"/>
      <c r="M25" s="2513"/>
    </row>
    <row r="26" spans="1:33" ht="18" customHeight="1">
      <c r="A26" s="1633" t="s">
        <v>1831</v>
      </c>
      <c r="B26" s="784" t="s">
        <v>2437</v>
      </c>
      <c r="C26" s="53">
        <f ca="1">ROUND((C19+C20)*F26,0)</f>
        <v>12634</v>
      </c>
      <c r="D26" s="812" t="s">
        <v>1778</v>
      </c>
      <c r="E26" s="795" t="s">
        <v>1779</v>
      </c>
      <c r="F26" s="794">
        <f ca="1">INDIRECT("'数据-取费表'!q"&amp;$G$1)</f>
        <v>0.1</v>
      </c>
      <c r="G26" s="1578"/>
      <c r="H26" s="2465" t="s">
        <v>1780</v>
      </c>
      <c r="I26" s="2216" t="s">
        <v>2825</v>
      </c>
      <c r="J26" s="783">
        <f ca="1">IF(J5&lt;&gt;0,ROUND(J25*(1-((1+M28)/(1+M26))^M27)/(M26-M28),0),0)</f>
        <v>0</v>
      </c>
      <c r="K26" s="814" t="s">
        <v>1781</v>
      </c>
      <c r="L26" s="784" t="s">
        <v>2418</v>
      </c>
      <c r="M26" s="794">
        <f ca="1">INDIRECT("'数据-取费表'!I"&amp;$G$1)</f>
        <v>5.5E-2</v>
      </c>
    </row>
    <row r="27" spans="1:33" ht="18" customHeight="1">
      <c r="A27" s="1633" t="s">
        <v>1832</v>
      </c>
      <c r="B27" s="784" t="s">
        <v>686</v>
      </c>
      <c r="C27" s="53">
        <f ca="1">ROUND(F21*F26,4)</f>
        <v>3.0000000000000001E-3</v>
      </c>
      <c r="D27" s="812" t="s">
        <v>1782</v>
      </c>
      <c r="E27" s="806"/>
      <c r="F27" s="807"/>
      <c r="G27" s="1578"/>
      <c r="H27" s="2466"/>
      <c r="I27" s="787"/>
      <c r="J27" s="788"/>
      <c r="K27" s="821" t="s">
        <v>1783</v>
      </c>
      <c r="L27" s="784" t="s">
        <v>1784</v>
      </c>
      <c r="M27" s="822">
        <f ca="1">INDIRECT("'数据-取费表'!ag"&amp;$G$1)</f>
        <v>0</v>
      </c>
    </row>
    <row r="28" spans="1:33" s="2048" customFormat="1" ht="18" customHeight="1">
      <c r="A28" s="1635" t="s">
        <v>1841</v>
      </c>
      <c r="B28" s="784" t="s">
        <v>687</v>
      </c>
      <c r="C28" s="53">
        <f>ROUND(F28/(1+'数据-取费表'!C42),4)</f>
        <v>5.33E-2</v>
      </c>
      <c r="D28" s="812" t="s">
        <v>2299</v>
      </c>
      <c r="E28" s="784" t="s">
        <v>1785</v>
      </c>
      <c r="F28" s="809">
        <f>'数据-取费表'!B41</f>
        <v>5.6000000000000001E-2</v>
      </c>
      <c r="G28" s="1579"/>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169795</v>
      </c>
      <c r="D29" s="2508"/>
      <c r="E29" s="2509"/>
      <c r="F29" s="2510"/>
      <c r="G29" s="1579"/>
      <c r="H29" s="823" t="s">
        <v>1787</v>
      </c>
      <c r="I29" s="824" t="s">
        <v>1788</v>
      </c>
      <c r="J29" s="825">
        <f ca="1">ROUND(J26/(1+F40)^F41,0)</f>
        <v>0</v>
      </c>
      <c r="K29" s="826" t="s">
        <v>1789</v>
      </c>
      <c r="L29" s="827"/>
      <c r="M29" s="828">
        <f ca="1">INDIRECT("'数据-取费表'!k"&amp;$G$1)</f>
        <v>311402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6656</v>
      </c>
      <c r="D30" s="1805" t="s">
        <v>1791</v>
      </c>
      <c r="E30" s="2449"/>
      <c r="F30" s="2454"/>
      <c r="G30" s="2046"/>
      <c r="H30" s="2049"/>
      <c r="I30" s="2050"/>
      <c r="J30" s="2051"/>
      <c r="K30" s="2052"/>
      <c r="L30" s="2053"/>
      <c r="M30" s="2054"/>
    </row>
    <row r="31" spans="1:33" ht="18" customHeight="1">
      <c r="A31" s="1634" t="s">
        <v>1830</v>
      </c>
      <c r="B31" s="784" t="s">
        <v>656</v>
      </c>
      <c r="C31" s="53">
        <f ca="1">ROUND(IF(项目基本情况!B11="自然人",C5*F31,C32+C33+C34),1)</f>
        <v>3650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84" t="s">
        <v>1794</v>
      </c>
      <c r="C32" s="53">
        <f ca="1">ROUND(C5*F32/1.05,1)</f>
        <v>1091.0999999999999</v>
      </c>
      <c r="D32" s="1961" t="s">
        <v>1795</v>
      </c>
      <c r="E32" s="784" t="s">
        <v>1796</v>
      </c>
      <c r="F32" s="809">
        <f>'数据-取费表'!B41</f>
        <v>5.6000000000000001E-2</v>
      </c>
      <c r="G32" s="2046"/>
      <c r="H32" s="2055"/>
      <c r="I32" s="2056"/>
      <c r="J32" s="2057"/>
      <c r="K32" s="2058"/>
      <c r="L32" s="2059"/>
      <c r="M32" s="2060"/>
    </row>
    <row r="33" spans="1:18" ht="18" customHeight="1">
      <c r="A33" s="1633" t="s">
        <v>1832</v>
      </c>
      <c r="B33" s="784" t="s">
        <v>1797</v>
      </c>
      <c r="C33" s="53">
        <f ca="1">IF(D33="按租金收入计税",ROUND(C5*F33,1),IF(D33="按房产原值计税",ROUND(C29*F33*0.7,1),INDIRECT("'数据-取费表'!Aj"&amp;$G$1)))</f>
        <v>2455.1</v>
      </c>
      <c r="D33" s="811" t="s">
        <v>3256</v>
      </c>
      <c r="E33" s="784" t="s">
        <v>1796</v>
      </c>
      <c r="F33" s="809">
        <f>IF(D33="按租金收入计税",'数据-取费表'!B51,'数据-取费表'!B50)</f>
        <v>0.12</v>
      </c>
      <c r="G33" s="2046"/>
      <c r="H33" s="2061"/>
      <c r="I33" s="2061"/>
      <c r="J33" s="2061"/>
      <c r="K33" s="2062"/>
      <c r="L33" s="2061"/>
      <c r="M33" s="2061"/>
    </row>
    <row r="34" spans="1:18" ht="18" customHeight="1">
      <c r="A34" s="1636" t="s">
        <v>1833</v>
      </c>
      <c r="B34" s="341" t="s">
        <v>1798</v>
      </c>
      <c r="C34" s="54">
        <f ca="1">ROUND(F34*F35/10000,1)</f>
        <v>103.8</v>
      </c>
      <c r="D34" s="814" t="s">
        <v>1799</v>
      </c>
      <c r="E34" s="784" t="s">
        <v>1800</v>
      </c>
      <c r="F34" s="640">
        <f>'数据-取费表'!B52</f>
        <v>4</v>
      </c>
      <c r="G34" s="2046"/>
      <c r="H34" s="2049"/>
      <c r="I34" s="835" t="s">
        <v>1813</v>
      </c>
      <c r="J34" s="836"/>
      <c r="K34" s="2064"/>
      <c r="L34" s="2063"/>
      <c r="M34" s="2063"/>
    </row>
    <row r="35" spans="1:18" ht="18" customHeight="1">
      <c r="A35" s="815"/>
      <c r="B35" s="793"/>
      <c r="C35" s="69"/>
      <c r="D35" s="816"/>
      <c r="E35" s="784" t="s">
        <v>1801</v>
      </c>
      <c r="F35" s="785">
        <f ca="1">INDIRECT("'数据-取费表'!r"&amp;$G$1)</f>
        <v>259503</v>
      </c>
      <c r="G35" s="2046"/>
      <c r="H35" s="2049"/>
      <c r="I35" s="837" t="s">
        <v>1814</v>
      </c>
      <c r="J35" s="838">
        <f ca="1">ROUND(C13*J36,0)</f>
        <v>0</v>
      </c>
      <c r="K35" s="2062"/>
      <c r="L35" s="2061"/>
      <c r="M35" s="2061"/>
    </row>
    <row r="36" spans="1:18" ht="18" customHeight="1">
      <c r="A36" s="1634" t="s">
        <v>1889</v>
      </c>
      <c r="B36" s="784" t="s">
        <v>1802</v>
      </c>
      <c r="C36" s="53">
        <f ca="1">ROUND(C29*F36,1)</f>
        <v>2546.9</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4" t="s">
        <v>1890</v>
      </c>
      <c r="B37" s="784" t="s">
        <v>679</v>
      </c>
      <c r="C37" s="53">
        <f ca="1">ROUND(C13*F37,1)</f>
        <v>254.7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204.6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13803</v>
      </c>
      <c r="D39" s="2511" t="s">
        <v>1806</v>
      </c>
      <c r="E39" s="2512"/>
      <c r="F39" s="2513"/>
      <c r="G39" s="2046"/>
      <c r="H39" s="2061"/>
      <c r="I39" s="837" t="s">
        <v>1818</v>
      </c>
      <c r="J39" s="845">
        <f ca="1">ROUND(J35/C39,3)</f>
        <v>0</v>
      </c>
      <c r="K39" s="2067"/>
      <c r="L39" s="2061"/>
      <c r="M39" s="2061"/>
    </row>
    <row r="40" spans="1:18" ht="18" customHeight="1">
      <c r="A40" s="781" t="s">
        <v>1895</v>
      </c>
      <c r="B40" s="2216" t="s">
        <v>2301</v>
      </c>
      <c r="C40" s="783">
        <f ca="1">ROUND(C39*(1-((1+F42)/(1+F40))^F41)/(F40-F42),0)</f>
        <v>279789</v>
      </c>
      <c r="D40" s="814" t="s">
        <v>1807</v>
      </c>
      <c r="E40" s="784" t="s">
        <v>2418</v>
      </c>
      <c r="F40" s="794">
        <f ca="1">INDIRECT("'数据-取费表'!I"&amp;$G$1)</f>
        <v>5.5E-2</v>
      </c>
      <c r="G40" s="2046"/>
      <c r="H40" s="2046"/>
      <c r="I40" s="837" t="s">
        <v>1819</v>
      </c>
      <c r="J40" s="845">
        <f ca="1">1-J39</f>
        <v>1</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29.47</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0.60699999999999998</v>
      </c>
      <c r="K42" s="2066"/>
      <c r="L42" s="1972"/>
      <c r="M42" s="1972"/>
    </row>
    <row r="43" spans="1:18" ht="18" customHeight="1" thickBot="1">
      <c r="A43" s="823" t="s">
        <v>1787</v>
      </c>
      <c r="B43" s="824" t="s">
        <v>1810</v>
      </c>
      <c r="C43" s="825">
        <f ca="1">ROUND(C40*10000/F43,0)</f>
        <v>8985</v>
      </c>
      <c r="D43" s="826" t="s">
        <v>1811</v>
      </c>
      <c r="E43" s="827" t="s">
        <v>1812</v>
      </c>
      <c r="F43" s="828">
        <f ca="1">INDIRECT("'数据-取费表'!k"&amp;$G$1)</f>
        <v>311402</v>
      </c>
      <c r="G43" s="2046"/>
      <c r="H43" s="1972"/>
      <c r="I43" s="847" t="s">
        <v>1822</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-321704</v>
      </c>
      <c r="D46" s="2069"/>
      <c r="E46" s="2069"/>
      <c r="F46" s="2069"/>
      <c r="I46" s="2341" t="s">
        <v>2342</v>
      </c>
      <c r="J46" s="2342"/>
      <c r="K46" s="2343"/>
      <c r="L46" s="3108">
        <f>IF(OR(M47="住宅",D1="土地（套用方法）"),0,IF(L48&gt;J51,L60,J60))</f>
        <v>0</v>
      </c>
      <c r="O46" s="2357" t="s">
        <v>2409</v>
      </c>
      <c r="P46" s="1578"/>
      <c r="Q46" s="1589"/>
      <c r="R46" s="1578"/>
    </row>
    <row r="47" spans="1:18" s="2043" customFormat="1" ht="18" customHeight="1" thickBot="1">
      <c r="A47" s="2335">
        <v>1</v>
      </c>
      <c r="B47" s="2336" t="s">
        <v>635</v>
      </c>
      <c r="C47" s="2537">
        <f ca="1">C48+C52+C54</f>
        <v>0</v>
      </c>
      <c r="D47" s="2069"/>
      <c r="E47" s="2069"/>
      <c r="F47" s="2069"/>
      <c r="I47" s="3098" t="s">
        <v>2343</v>
      </c>
      <c r="J47" s="2344" t="s">
        <v>3255</v>
      </c>
      <c r="K47" s="3105" t="s">
        <v>2348</v>
      </c>
      <c r="L47" s="3109">
        <f ca="1">INDIRECT("'数据-取费表'!d"&amp;$G$1)</f>
        <v>40</v>
      </c>
      <c r="M47" s="1589"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2296</v>
      </c>
      <c r="F48" s="2340"/>
      <c r="G48" s="2074"/>
      <c r="I48" s="3077" t="s">
        <v>2344</v>
      </c>
      <c r="J48" s="2345" t="s">
        <v>2349</v>
      </c>
      <c r="K48" s="3106" t="s">
        <v>2350</v>
      </c>
      <c r="L48" s="1892">
        <f ca="1">INDIRECT("'数据-取费表'!f"&amp;$G$1)</f>
        <v>34.47</v>
      </c>
      <c r="O48" s="2361" t="s">
        <v>2378</v>
      </c>
      <c r="P48" s="2362" t="s">
        <v>2404</v>
      </c>
      <c r="Q48" s="2363">
        <f ca="1">C40+J29</f>
        <v>279789</v>
      </c>
      <c r="R48" s="2362" t="s">
        <v>2379</v>
      </c>
    </row>
    <row r="49" spans="1:18" s="2043" customFormat="1" ht="18" customHeight="1" thickBot="1">
      <c r="A49" s="786"/>
      <c r="B49" s="787"/>
      <c r="C49" s="788"/>
      <c r="D49" s="789"/>
      <c r="E49" s="784" t="s">
        <v>1739</v>
      </c>
      <c r="F49" s="785">
        <f ca="1">F7</f>
        <v>311402</v>
      </c>
      <c r="G49" s="2074"/>
      <c r="H49" s="2077"/>
      <c r="I49" s="3077" t="s">
        <v>2345</v>
      </c>
      <c r="J49" s="2346"/>
      <c r="K49" s="3107" t="s">
        <v>2351</v>
      </c>
      <c r="L49" s="2347"/>
      <c r="O49" s="2361" t="s">
        <v>2380</v>
      </c>
      <c r="P49" s="2362" t="s">
        <v>2405</v>
      </c>
      <c r="Q49" s="2363" t="str">
        <f ca="1">J60</f>
        <v>0</v>
      </c>
      <c r="R49" s="2362" t="s">
        <v>2381</v>
      </c>
    </row>
    <row r="50" spans="1:18" s="2043" customFormat="1" ht="18" customHeight="1" thickBot="1">
      <c r="A50" s="786"/>
      <c r="B50" s="787"/>
      <c r="C50" s="788"/>
      <c r="D50" s="789"/>
      <c r="E50" s="784" t="s">
        <v>1740</v>
      </c>
      <c r="F50" s="785">
        <f ca="1">F8</f>
        <v>365</v>
      </c>
      <c r="G50" s="2079"/>
      <c r="H50" s="2077"/>
      <c r="I50" s="3077" t="s">
        <v>2346</v>
      </c>
      <c r="J50" s="3102">
        <f>SUMPRODUCT((I63:I65=J47)*(J62:L62=J48)*(J63:L65))</f>
        <v>60</v>
      </c>
      <c r="K50" s="3107" t="s">
        <v>2352</v>
      </c>
      <c r="L50" s="2347"/>
      <c r="O50" s="2364" t="s">
        <v>2382</v>
      </c>
      <c r="P50" s="2362" t="s">
        <v>2406</v>
      </c>
      <c r="Q50" s="2363">
        <f ca="1">C29</f>
        <v>169795</v>
      </c>
      <c r="R50" s="2362" t="s">
        <v>2379</v>
      </c>
    </row>
    <row r="51" spans="1:18" s="2043" customFormat="1" ht="18" customHeight="1" thickBot="1">
      <c r="A51" s="786"/>
      <c r="B51" s="787"/>
      <c r="C51" s="788"/>
      <c r="D51" s="789"/>
      <c r="E51" s="784" t="s">
        <v>640</v>
      </c>
      <c r="F51" s="2334"/>
      <c r="H51" s="2077"/>
      <c r="I51" s="3099" t="s">
        <v>2347</v>
      </c>
      <c r="J51" s="3103">
        <f>IF(J49="",J50,J49+J50-YEAR('数据-取费表'!B2))</f>
        <v>60</v>
      </c>
      <c r="K51" s="3077" t="s">
        <v>2353</v>
      </c>
      <c r="L51" s="3110">
        <f ca="1">ROUND(-PV(INDIRECT("'数据-取费表'!h"&amp;$G$1),L48,(C39-C13*J36),0),0)</f>
        <v>224702</v>
      </c>
      <c r="O51" s="2364" t="s">
        <v>2383</v>
      </c>
      <c r="P51" s="2362" t="s">
        <v>2384</v>
      </c>
      <c r="Q51" s="2365" t="e">
        <f ca="1">J58</f>
        <v>#VALUE!</v>
      </c>
      <c r="R51" s="2366"/>
    </row>
    <row r="52" spans="1:18" s="2043" customFormat="1" ht="18" customHeight="1" thickBot="1">
      <c r="A52" s="781" t="s">
        <v>2535</v>
      </c>
      <c r="B52" s="2457" t="s">
        <v>2458</v>
      </c>
      <c r="C52" s="799">
        <f ca="1">ROUND(IF(F52="押一",C48/12*F11,IF(F52="押二",C48/12*2*F11,IF(F52="押三",C48/12*3*F11,C53*F11))),0)</f>
        <v>0</v>
      </c>
      <c r="D52" s="2464" t="s">
        <v>2974</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6"/>
      <c r="B53" s="2458" t="s">
        <v>2572</v>
      </c>
      <c r="C53" s="2462"/>
      <c r="D53" s="2464"/>
      <c r="E53" s="2461"/>
      <c r="F53" s="800"/>
      <c r="I53" s="3101" t="s">
        <v>2977</v>
      </c>
      <c r="J53" s="3104">
        <f ca="1">IF(M47="住宅",IF(D1="——",MAX(J51,L48),MAX(J51,L48-'数据-取费表'!B20)),IF(D1="——",MIN(J51,L48),MIN(J51,L48-'数据-取费表'!B20)))</f>
        <v>29.47</v>
      </c>
      <c r="K53" s="3547" t="s">
        <v>2965</v>
      </c>
      <c r="L53" s="3548"/>
      <c r="O53" s="2364" t="s">
        <v>2387</v>
      </c>
      <c r="P53" s="2362" t="s">
        <v>2388</v>
      </c>
      <c r="Q53" s="2363">
        <f ca="1">J53</f>
        <v>29.47</v>
      </c>
      <c r="R53" s="2362" t="s">
        <v>2389</v>
      </c>
    </row>
    <row r="54" spans="1:18" s="2043" customFormat="1" ht="18" customHeight="1" thickBot="1">
      <c r="A54" s="2500" t="s">
        <v>2466</v>
      </c>
      <c r="B54" s="2501" t="s">
        <v>2459</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279789</v>
      </c>
      <c r="R54" s="2366" t="s">
        <v>2391</v>
      </c>
    </row>
    <row r="55" spans="1:18" s="2043" customFormat="1" ht="18" customHeight="1" thickTop="1" thickBot="1">
      <c r="A55" s="797">
        <v>2</v>
      </c>
      <c r="B55" s="798" t="s">
        <v>644</v>
      </c>
      <c r="C55" s="799">
        <f ca="1">C13</f>
        <v>169795</v>
      </c>
      <c r="D55" s="795"/>
      <c r="E55" s="795"/>
      <c r="F55" s="800"/>
      <c r="I55" s="3113" t="s">
        <v>2354</v>
      </c>
      <c r="J55" s="3052" t="e">
        <f ca="1">ROUND(IF(J47="钢混",J57/J50,1-(1-2%)*(J50-J57)/J50),3)</f>
        <v>#VALUE!</v>
      </c>
      <c r="K55" s="3114" t="s">
        <v>2355</v>
      </c>
      <c r="L55" s="2349"/>
      <c r="O55" s="2367" t="s">
        <v>2410</v>
      </c>
      <c r="P55" s="1578"/>
      <c r="Q55" s="1589"/>
      <c r="R55" s="1578"/>
    </row>
    <row r="56" spans="1:18" s="2043" customFormat="1" ht="42.75" customHeight="1" thickBot="1">
      <c r="A56" s="1635"/>
      <c r="B56" s="2215" t="s">
        <v>2302</v>
      </c>
      <c r="C56" s="53">
        <f ca="1">C29</f>
        <v>169795</v>
      </c>
      <c r="D56" s="2602"/>
      <c r="E56" s="784"/>
      <c r="F56" s="809"/>
      <c r="I56" s="3115" t="s">
        <v>2356</v>
      </c>
      <c r="J56" s="3125" t="s">
        <v>1678</v>
      </c>
      <c r="K56" s="3077" t="s">
        <v>2361</v>
      </c>
      <c r="L56" s="1892" t="str">
        <f ca="1">IF(L48&lt;J51,"——",L48-J51)</f>
        <v>——</v>
      </c>
      <c r="O56" s="2358" t="s">
        <v>2374</v>
      </c>
      <c r="P56" s="2359" t="s">
        <v>2375</v>
      </c>
      <c r="Q56" s="2360" t="s">
        <v>2376</v>
      </c>
      <c r="R56" s="2359" t="s">
        <v>2377</v>
      </c>
    </row>
    <row r="57" spans="1:18" s="2043" customFormat="1" ht="28.5" customHeight="1" thickBot="1">
      <c r="A57" s="797" t="s">
        <v>1748</v>
      </c>
      <c r="B57" s="798" t="s">
        <v>651</v>
      </c>
      <c r="C57" s="799">
        <f ca="1">ROUND(C58+C63+C64+C65,0)</f>
        <v>2905</v>
      </c>
      <c r="D57" s="26" t="s">
        <v>1750</v>
      </c>
      <c r="E57" s="2603"/>
      <c r="F57" s="56"/>
      <c r="I57" s="3116" t="s">
        <v>2357</v>
      </c>
      <c r="J57" s="3117" t="str">
        <f ca="1">IF(OR(M47="住宅",J51&lt;L48,J56="是"),"——",J51-L48)</f>
        <v>——</v>
      </c>
      <c r="K57" s="3077" t="s">
        <v>2362</v>
      </c>
      <c r="L57" s="1892" t="str">
        <f ca="1">IF(L48&lt;J51,"——",IF(L55="比较法",L49,IF(L55="基准地价",L50,L51)))</f>
        <v>——</v>
      </c>
      <c r="O57" s="2361" t="s">
        <v>2378</v>
      </c>
      <c r="P57" s="2362" t="s">
        <v>2408</v>
      </c>
      <c r="Q57" s="2363">
        <f ca="1">C40+J29</f>
        <v>279789</v>
      </c>
      <c r="R57" s="2362" t="s">
        <v>2379</v>
      </c>
    </row>
    <row r="58" spans="1:18" s="2043" customFormat="1" ht="28.5" customHeight="1" thickBot="1">
      <c r="A58" s="1634" t="s">
        <v>1824</v>
      </c>
      <c r="B58" s="784" t="s">
        <v>656</v>
      </c>
      <c r="C58" s="53">
        <f ca="1">ROUND(IF(项目基本情况!B11="自然人",C47*F58,C59+C60+C61),1)</f>
        <v>103.8</v>
      </c>
      <c r="D58" s="2601" t="s">
        <v>657</v>
      </c>
      <c r="E58" s="2602" t="s">
        <v>690</v>
      </c>
      <c r="F58" s="810" t="str">
        <f ca="1">IF(项目基本情况!B11="企业","",IF(INDIRECT("'数据-取费表'!c"&amp;$G$1)="住宅",5%,IF(F48*F49*F50/12/(1+'数据-取费表'!C42)&gt;20000,12%,7%)))</f>
        <v/>
      </c>
      <c r="I58" s="3116"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3" t="s">
        <v>1831</v>
      </c>
      <c r="B59" s="784" t="s">
        <v>660</v>
      </c>
      <c r="C59" s="53">
        <f ca="1">ROUND(C47*F59/1.05,1)</f>
        <v>0</v>
      </c>
      <c r="D59" s="2602" t="s">
        <v>1756</v>
      </c>
      <c r="E59" s="784" t="s">
        <v>1747</v>
      </c>
      <c r="F59" s="809">
        <f t="shared" ref="F59:F65" si="0">F32</f>
        <v>5.6000000000000001E-2</v>
      </c>
      <c r="I59" s="3116" t="s">
        <v>2359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3"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8" t="s">
        <v>2360</v>
      </c>
      <c r="J60" s="3119" t="str">
        <f ca="1">IF(OR(M47="住宅",J51&lt;L48,J56="是"),"0",ROUND(J59/(1+J52)^J53,0))</f>
        <v>0</v>
      </c>
      <c r="K60" s="3120" t="s">
        <v>2365</v>
      </c>
      <c r="L60" s="3119">
        <f ca="1">IF(OR(M47="住宅",L48&lt;J51),0,ROUND(L57*(L58/L59-1),0))</f>
        <v>0</v>
      </c>
      <c r="O60" s="2364" t="s">
        <v>2383</v>
      </c>
      <c r="P60" s="2362" t="s">
        <v>2392</v>
      </c>
      <c r="Q60" s="2365">
        <f>L52</f>
        <v>0</v>
      </c>
      <c r="R60" s="2366"/>
    </row>
    <row r="61" spans="1:18" s="2043" customFormat="1" ht="18" customHeight="1" thickBot="1">
      <c r="A61" s="1636" t="s">
        <v>1833</v>
      </c>
      <c r="B61" s="341" t="s">
        <v>668</v>
      </c>
      <c r="C61" s="54">
        <f ca="1">ROUND(F61*F62/10000,1)</f>
        <v>103.8</v>
      </c>
      <c r="D61" s="814" t="s">
        <v>669</v>
      </c>
      <c r="E61" s="784" t="s">
        <v>670</v>
      </c>
      <c r="F61" s="640">
        <f t="shared" si="0"/>
        <v>4</v>
      </c>
      <c r="K61" s="2070"/>
      <c r="O61" s="2364" t="s">
        <v>2385</v>
      </c>
      <c r="P61" s="2362" t="s">
        <v>2393</v>
      </c>
      <c r="Q61" s="2363" t="e">
        <f ca="1">L58</f>
        <v>#DIV/0!</v>
      </c>
      <c r="R61" s="2366" t="s">
        <v>2394</v>
      </c>
    </row>
    <row r="62" spans="1:18" s="2043" customFormat="1" ht="15.75" thickBot="1">
      <c r="A62" s="815"/>
      <c r="B62" s="793"/>
      <c r="C62" s="69"/>
      <c r="D62" s="816"/>
      <c r="E62" s="784" t="s">
        <v>674</v>
      </c>
      <c r="F62" s="785">
        <f t="shared" ca="1" si="0"/>
        <v>259503</v>
      </c>
      <c r="I62" s="3121" t="s">
        <v>2366</v>
      </c>
      <c r="J62" s="3122" t="s">
        <v>2367</v>
      </c>
      <c r="K62" s="3122" t="s">
        <v>2368</v>
      </c>
      <c r="L62" s="3122" t="s">
        <v>2349</v>
      </c>
      <c r="M62" s="3123" t="s">
        <v>2941</v>
      </c>
      <c r="O62" s="2364" t="s">
        <v>2387</v>
      </c>
      <c r="P62" s="2362" t="str">
        <f>K59</f>
        <v>建设期及建筑物耐用年限下的土地年期修正系数Kn</v>
      </c>
      <c r="Q62" s="2363" t="e">
        <f ca="1">L59</f>
        <v>#DIV/0!</v>
      </c>
      <c r="R62" s="2366" t="s">
        <v>2396</v>
      </c>
    </row>
    <row r="63" spans="1:18" s="2043" customFormat="1" ht="15.75" thickBot="1">
      <c r="A63" s="1634" t="s">
        <v>1889</v>
      </c>
      <c r="B63" s="784" t="s">
        <v>676</v>
      </c>
      <c r="C63" s="53">
        <f ca="1">ROUND(C56*F63,1)</f>
        <v>2546.9</v>
      </c>
      <c r="D63" s="2602" t="s">
        <v>1803</v>
      </c>
      <c r="E63" s="784" t="s">
        <v>1747</v>
      </c>
      <c r="F63" s="817">
        <f t="shared" ca="1" si="0"/>
        <v>1.4999999999999999E-2</v>
      </c>
      <c r="I63" s="3121" t="s">
        <v>2369</v>
      </c>
      <c r="J63" s="3122">
        <v>70</v>
      </c>
      <c r="K63" s="3122">
        <v>50</v>
      </c>
      <c r="L63" s="3122">
        <v>80</v>
      </c>
      <c r="M63" s="3124">
        <v>0.02</v>
      </c>
      <c r="O63" s="2361" t="s">
        <v>2390</v>
      </c>
      <c r="P63" s="2362" t="s">
        <v>2407</v>
      </c>
      <c r="Q63" s="2363">
        <f ca="1">Q57+Q58</f>
        <v>279789</v>
      </c>
      <c r="R63" s="2366" t="s">
        <v>2391</v>
      </c>
    </row>
    <row r="64" spans="1:18" s="2043" customFormat="1" ht="16.5" thickBot="1">
      <c r="A64" s="1634" t="s">
        <v>1890</v>
      </c>
      <c r="B64" s="784" t="s">
        <v>679</v>
      </c>
      <c r="C64" s="53">
        <f ca="1">ROUND(C55*F64,1)</f>
        <v>254.7</v>
      </c>
      <c r="D64" s="2602" t="s">
        <v>680</v>
      </c>
      <c r="E64" s="784" t="s">
        <v>1747</v>
      </c>
      <c r="F64" s="818">
        <f t="shared" ca="1" si="0"/>
        <v>1.5E-3</v>
      </c>
      <c r="I64" s="3121" t="s">
        <v>2370</v>
      </c>
      <c r="J64" s="3122">
        <v>50</v>
      </c>
      <c r="K64" s="3122">
        <v>35</v>
      </c>
      <c r="L64" s="3122">
        <v>60</v>
      </c>
      <c r="M64" s="846">
        <v>0</v>
      </c>
      <c r="O64" s="2367" t="s">
        <v>2414</v>
      </c>
      <c r="P64" s="1578"/>
      <c r="Q64" s="1589"/>
      <c r="R64" s="1578"/>
    </row>
    <row r="65" spans="1:18" s="2043" customFormat="1" ht="15.75" thickBot="1">
      <c r="A65" s="1634" t="s">
        <v>1891</v>
      </c>
      <c r="B65" s="784" t="s">
        <v>666</v>
      </c>
      <c r="C65" s="53">
        <f ca="1">ROUND(C47*F65,1)</f>
        <v>0</v>
      </c>
      <c r="D65" s="2602" t="s">
        <v>683</v>
      </c>
      <c r="E65" s="784" t="s">
        <v>1747</v>
      </c>
      <c r="F65" s="794">
        <f t="shared" ca="1" si="0"/>
        <v>0.01</v>
      </c>
      <c r="I65" s="3121" t="s">
        <v>2371</v>
      </c>
      <c r="J65" s="3122">
        <v>40</v>
      </c>
      <c r="K65" s="3122">
        <v>30</v>
      </c>
      <c r="L65" s="3122">
        <v>50</v>
      </c>
      <c r="M65" s="3124">
        <v>0.02</v>
      </c>
      <c r="O65" s="2358" t="s">
        <v>2374</v>
      </c>
      <c r="P65" s="2359" t="s">
        <v>2375</v>
      </c>
      <c r="Q65" s="2360" t="s">
        <v>2376</v>
      </c>
      <c r="R65" s="2359" t="s">
        <v>2377</v>
      </c>
    </row>
    <row r="66" spans="1:18" s="2043" customFormat="1" ht="24.75" thickBot="1">
      <c r="A66" s="797" t="s">
        <v>1776</v>
      </c>
      <c r="B66" s="2962" t="s">
        <v>2820</v>
      </c>
      <c r="C66" s="799">
        <f ca="1">C47-C57</f>
        <v>-2905</v>
      </c>
      <c r="D66" s="2601" t="s">
        <v>700</v>
      </c>
      <c r="E66" s="2600"/>
      <c r="F66" s="820"/>
      <c r="K66" s="2070"/>
      <c r="O66" s="2361" t="s">
        <v>2378</v>
      </c>
      <c r="P66" s="2362" t="s">
        <v>2408</v>
      </c>
      <c r="Q66" s="2363">
        <f ca="1">C40+J29</f>
        <v>279789</v>
      </c>
      <c r="R66" s="2362" t="s">
        <v>2379</v>
      </c>
    </row>
    <row r="67" spans="1:18" s="2043" customFormat="1" ht="20.25" thickBot="1">
      <c r="A67" s="781" t="s">
        <v>1780</v>
      </c>
      <c r="B67" s="2216" t="s">
        <v>2301</v>
      </c>
      <c r="C67" s="783">
        <f ca="1">ROUND(C66*(1-((1+F69)/(1+F67))^F68)/(F67-F69),0)</f>
        <v>-41915</v>
      </c>
      <c r="D67" s="814" t="s">
        <v>704</v>
      </c>
      <c r="E67" s="784" t="s">
        <v>705</v>
      </c>
      <c r="F67" s="794">
        <f ca="1">F40</f>
        <v>5.5E-2</v>
      </c>
      <c r="K67" s="2070"/>
      <c r="O67" s="2361" t="s">
        <v>2380</v>
      </c>
      <c r="P67" s="2362" t="s">
        <v>2411</v>
      </c>
      <c r="Q67" s="2363">
        <f ca="1">L60</f>
        <v>0</v>
      </c>
      <c r="R67" s="2366" t="s">
        <v>2413</v>
      </c>
    </row>
    <row r="68" spans="1:18" ht="21.75" thickBot="1">
      <c r="A68" s="786"/>
      <c r="B68" s="787"/>
      <c r="C68" s="788"/>
      <c r="D68" s="821" t="s">
        <v>1808</v>
      </c>
      <c r="E68" s="784" t="s">
        <v>1784</v>
      </c>
      <c r="F68" s="822">
        <f ca="1">F41</f>
        <v>29.47</v>
      </c>
      <c r="O68" s="2364" t="s">
        <v>2382</v>
      </c>
      <c r="P68" s="2362" t="s">
        <v>2412</v>
      </c>
      <c r="Q68" s="2368">
        <f ca="1">L51</f>
        <v>224702</v>
      </c>
      <c r="R68" s="2369" t="s">
        <v>2415</v>
      </c>
    </row>
    <row r="69" spans="1:18" ht="20.25" thickBot="1">
      <c r="A69" s="790"/>
      <c r="B69" s="791"/>
      <c r="C69" s="792"/>
      <c r="D69" s="816"/>
      <c r="E69" s="784" t="s">
        <v>710</v>
      </c>
      <c r="F69" s="2334"/>
      <c r="O69" s="2364" t="s">
        <v>2383</v>
      </c>
      <c r="P69" s="2370" t="s">
        <v>2397</v>
      </c>
      <c r="Q69" s="2363">
        <f ca="1">ROUND(Q70-Q71*Q72,0)</f>
        <v>13803</v>
      </c>
      <c r="R69" s="2366"/>
    </row>
    <row r="70" spans="1:18" ht="15.75" thickBot="1">
      <c r="A70" s="823" t="s">
        <v>1787</v>
      </c>
      <c r="B70" s="824" t="s">
        <v>1810</v>
      </c>
      <c r="C70" s="825">
        <f ca="1">ROUND(C67*10000/F70,0)</f>
        <v>-1346</v>
      </c>
      <c r="D70" s="826" t="s">
        <v>1811</v>
      </c>
      <c r="E70" s="827" t="s">
        <v>1812</v>
      </c>
      <c r="F70" s="828">
        <f ca="1">F43</f>
        <v>311402</v>
      </c>
      <c r="O70" s="2364" t="s">
        <v>2398</v>
      </c>
      <c r="P70" s="2370" t="s">
        <v>2399</v>
      </c>
      <c r="Q70" s="2363">
        <f ca="1">C39</f>
        <v>13803</v>
      </c>
      <c r="R70" s="2362" t="s">
        <v>2379</v>
      </c>
    </row>
    <row r="71" spans="1:18" ht="15.75" thickBot="1">
      <c r="O71" s="2364" t="s">
        <v>2400</v>
      </c>
      <c r="P71" s="2370" t="s">
        <v>2401</v>
      </c>
      <c r="Q71" s="2363">
        <f ca="1">C13</f>
        <v>169795</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279789</v>
      </c>
      <c r="R76" s="2366"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ColWidth="9" defaultRowHeight="14.25"/>
  <cols>
    <col min="1" max="1" width="10.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8.625" style="1333"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3263</v>
      </c>
      <c r="E1" s="2589"/>
      <c r="F1" s="2761" t="s">
        <v>3258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5">
        <f>ROUND(B3*D3/10000,0)</f>
        <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8977</v>
      </c>
      <c r="C3" s="852" t="s">
        <v>722</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521</v>
      </c>
      <c r="B4" s="513"/>
      <c r="C4" s="3439" t="s">
        <v>522</v>
      </c>
      <c r="D4" s="3440"/>
      <c r="E4" s="3473" t="s">
        <v>523</v>
      </c>
      <c r="F4" s="3474"/>
      <c r="G4" s="3439" t="s">
        <v>524</v>
      </c>
      <c r="H4" s="3440"/>
      <c r="I4" s="3439" t="s">
        <v>525</v>
      </c>
      <c r="J4" s="3440"/>
      <c r="K4" s="853" t="s">
        <v>526</v>
      </c>
      <c r="L4" s="2117"/>
      <c r="M4" s="2118"/>
      <c r="N4" s="2118"/>
      <c r="O4" s="2118"/>
      <c r="P4" s="3441" t="s">
        <v>527</v>
      </c>
      <c r="Q4" s="3442"/>
      <c r="R4" s="3447" t="s">
        <v>523</v>
      </c>
      <c r="S4" s="3448"/>
      <c r="T4" s="3447" t="s">
        <v>524</v>
      </c>
      <c r="U4" s="3448"/>
      <c r="V4" s="3434" t="s">
        <v>525</v>
      </c>
      <c r="W4" s="3434"/>
      <c r="X4" s="1553"/>
      <c r="Y4" s="3447" t="s">
        <v>527</v>
      </c>
      <c r="Z4" s="3448"/>
      <c r="AA4" s="3436" t="s">
        <v>523</v>
      </c>
      <c r="AB4" s="3436" t="s">
        <v>524</v>
      </c>
      <c r="AC4" s="3436" t="s">
        <v>525</v>
      </c>
    </row>
    <row r="5" spans="1:29" ht="15">
      <c r="A5" s="515"/>
      <c r="B5" s="516"/>
      <c r="C5" s="3455" t="s">
        <v>2928</v>
      </c>
      <c r="D5" s="3456"/>
      <c r="E5" s="3555" t="s">
        <v>3561</v>
      </c>
      <c r="F5" s="3476"/>
      <c r="G5" s="3553" t="s">
        <v>3592</v>
      </c>
      <c r="H5" s="3456"/>
      <c r="I5" s="3553" t="s">
        <v>3582</v>
      </c>
      <c r="J5" s="3456"/>
      <c r="K5" s="854"/>
      <c r="L5" s="2117"/>
      <c r="M5" s="2118"/>
      <c r="N5" s="2118"/>
      <c r="O5" s="2118"/>
      <c r="P5" s="3443"/>
      <c r="Q5" s="3444"/>
      <c r="R5" s="3449"/>
      <c r="S5" s="3450"/>
      <c r="T5" s="3449"/>
      <c r="U5" s="3450"/>
      <c r="V5" s="3434"/>
      <c r="W5" s="3434"/>
      <c r="X5" s="1553"/>
      <c r="Y5" s="3449"/>
      <c r="Z5" s="3450"/>
      <c r="AA5" s="3437"/>
      <c r="AB5" s="3437"/>
      <c r="AC5" s="3437"/>
    </row>
    <row r="6" spans="1:29" ht="15.75" thickBot="1">
      <c r="A6" s="517"/>
      <c r="B6" s="518"/>
      <c r="C6" s="3453" t="s">
        <v>2932</v>
      </c>
      <c r="D6" s="3454"/>
      <c r="E6" s="3554" t="s">
        <v>3562</v>
      </c>
      <c r="F6" s="3472"/>
      <c r="G6" s="3552" t="s">
        <v>3593</v>
      </c>
      <c r="H6" s="3454"/>
      <c r="I6" s="3552" t="s">
        <v>3583</v>
      </c>
      <c r="J6" s="3454"/>
      <c r="K6" s="854" t="s">
        <v>528</v>
      </c>
      <c r="L6" s="2117"/>
      <c r="M6" s="2118"/>
      <c r="N6" s="2118"/>
      <c r="O6" s="2118"/>
      <c r="P6" s="3445"/>
      <c r="Q6" s="3446"/>
      <c r="R6" s="3449"/>
      <c r="S6" s="3450"/>
      <c r="T6" s="3451"/>
      <c r="U6" s="3452"/>
      <c r="V6" s="3434"/>
      <c r="W6" s="3434"/>
      <c r="X6" s="1553"/>
      <c r="Y6" s="3451"/>
      <c r="Z6" s="3452"/>
      <c r="AA6" s="3438"/>
      <c r="AB6" s="3438"/>
      <c r="AC6" s="3438"/>
    </row>
    <row r="7" spans="1:29" s="1216" customFormat="1" ht="15.75" thickBot="1">
      <c r="A7" s="2866"/>
      <c r="B7" s="2873" t="s">
        <v>529</v>
      </c>
      <c r="C7" s="519">
        <f>'数据-取费表'!B2</f>
        <v>43565</v>
      </c>
      <c r="D7" s="520">
        <v>100</v>
      </c>
      <c r="E7" s="521">
        <v>43556</v>
      </c>
      <c r="F7" s="522">
        <f>SUMIF(58:58,YEAR(E7)&amp;"-"&amp;MONTH(E7),59:59)</f>
        <v>100</v>
      </c>
      <c r="G7" s="523">
        <f>E7</f>
        <v>43556</v>
      </c>
      <c r="H7" s="520">
        <f>SUMIF(58:58,YEAR(G7)&amp;"-"&amp;MONTH(G7),59:59)</f>
        <v>100</v>
      </c>
      <c r="I7" s="523">
        <f>E7</f>
        <v>43556</v>
      </c>
      <c r="J7" s="520">
        <f>SUMIF(58:58,YEAR(I7)&amp;"-"&amp;MONTH(I7),59:59)</f>
        <v>100</v>
      </c>
      <c r="K7" s="855"/>
      <c r="L7" s="2119"/>
      <c r="M7" s="2120"/>
      <c r="N7" s="2120"/>
      <c r="O7" s="2120"/>
      <c r="P7" s="3464" t="s">
        <v>530</v>
      </c>
      <c r="Q7" s="3466"/>
      <c r="R7" s="1554" t="s">
        <v>13</v>
      </c>
      <c r="S7" s="1555">
        <f t="shared" ref="S7:S15" si="0">F7</f>
        <v>100</v>
      </c>
      <c r="T7" s="1554" t="s">
        <v>13</v>
      </c>
      <c r="U7" s="1555">
        <f t="shared" ref="U7:U15" si="1">H7</f>
        <v>100</v>
      </c>
      <c r="V7" s="1554" t="s">
        <v>13</v>
      </c>
      <c r="W7" s="1555">
        <f t="shared" ref="W7:W15" si="2">J7</f>
        <v>100</v>
      </c>
      <c r="X7" s="1556"/>
      <c r="Y7" s="3464" t="s">
        <v>530</v>
      </c>
      <c r="Z7" s="3465"/>
      <c r="AA7" s="1557">
        <f>D7/F7</f>
        <v>1</v>
      </c>
      <c r="AB7" s="1557">
        <f>D7/H7</f>
        <v>1</v>
      </c>
      <c r="AC7" s="1557">
        <f>D7/J7</f>
        <v>1</v>
      </c>
    </row>
    <row r="8" spans="1:29" s="1216" customFormat="1" ht="15.75" thickBot="1">
      <c r="A8" s="2867"/>
      <c r="B8" s="2874" t="s">
        <v>531</v>
      </c>
      <c r="C8" s="525" t="s">
        <v>576</v>
      </c>
      <c r="D8" s="520">
        <v>100</v>
      </c>
      <c r="E8" s="856" t="s">
        <v>3529</v>
      </c>
      <c r="F8" s="522">
        <f>SUMIF(61:61,E8,62:62)-SUMIF(61:61,C8,62:62)+100</f>
        <v>100</v>
      </c>
      <c r="G8" s="525" t="s">
        <v>3529</v>
      </c>
      <c r="H8" s="520">
        <f>SUMIF(61:61,G8,62:62)-SUMIF(61:61,C8,62:62)+100</f>
        <v>100</v>
      </c>
      <c r="I8" s="856" t="s">
        <v>3529</v>
      </c>
      <c r="J8" s="520">
        <f>SUMIF(61:61,I8,62:62)-SUMIF(61:61,C8,62:62)+100</f>
        <v>100</v>
      </c>
      <c r="K8" s="855"/>
      <c r="L8" s="2119"/>
      <c r="M8" s="2120"/>
      <c r="N8" s="2120"/>
      <c r="O8" s="2120"/>
      <c r="P8" s="3464" t="s">
        <v>533</v>
      </c>
      <c r="Q8" s="3465"/>
      <c r="R8" s="1554" t="s">
        <v>13</v>
      </c>
      <c r="S8" s="1555">
        <f t="shared" si="0"/>
        <v>100</v>
      </c>
      <c r="T8" s="1554" t="s">
        <v>13</v>
      </c>
      <c r="U8" s="1555">
        <f t="shared" si="1"/>
        <v>100</v>
      </c>
      <c r="V8" s="1554" t="s">
        <v>13</v>
      </c>
      <c r="W8" s="1555">
        <f t="shared" si="2"/>
        <v>100</v>
      </c>
      <c r="X8" s="1556"/>
      <c r="Y8" s="3464" t="s">
        <v>533</v>
      </c>
      <c r="Z8" s="3465"/>
      <c r="AA8" s="1557">
        <f t="shared" ref="AA8:AA46" si="3">D8/F8</f>
        <v>1</v>
      </c>
      <c r="AB8" s="1557">
        <f t="shared" ref="AB8:AB46" si="4">D8/H8</f>
        <v>1</v>
      </c>
      <c r="AC8" s="1557">
        <f t="shared" ref="AC8:AC46" si="5">D8/J8</f>
        <v>1</v>
      </c>
    </row>
    <row r="9" spans="1:29" s="1216" customFormat="1" ht="15">
      <c r="A9" s="2868"/>
      <c r="B9" s="2875" t="s">
        <v>2754</v>
      </c>
      <c r="C9" s="3207" t="s">
        <v>3563</v>
      </c>
      <c r="D9" s="254">
        <v>100</v>
      </c>
      <c r="E9" s="858" t="s">
        <v>923</v>
      </c>
      <c r="F9" s="859">
        <f>SUMIF(63:63,E9,64:64)-SUMIF(63:63,C9,64:64)+100</f>
        <v>100</v>
      </c>
      <c r="G9" s="860" t="s">
        <v>923</v>
      </c>
      <c r="H9" s="254">
        <f>SUMIF(63:63,G9,64:64)-SUMIF(63:63,C9,64:64)+100</f>
        <v>100</v>
      </c>
      <c r="I9" s="858" t="s">
        <v>923</v>
      </c>
      <c r="J9" s="254">
        <f>SUMIF(63:63,I9,64:64)-SUMIF(63:63,C9,64:64)+100</f>
        <v>100</v>
      </c>
      <c r="K9" s="855"/>
      <c r="L9" s="2119"/>
      <c r="M9" s="2120"/>
      <c r="N9" s="2120"/>
      <c r="O9" s="2121"/>
      <c r="P9" s="3433" t="s">
        <v>535</v>
      </c>
      <c r="Q9" s="1147" t="str">
        <f t="shared" ref="Q9:Q15" si="6">B9</f>
        <v>用途</v>
      </c>
      <c r="R9" s="1554" t="s">
        <v>8</v>
      </c>
      <c r="S9" s="1555">
        <f t="shared" si="0"/>
        <v>100</v>
      </c>
      <c r="T9" s="1554" t="s">
        <v>8</v>
      </c>
      <c r="U9" s="1555">
        <f t="shared" si="1"/>
        <v>100</v>
      </c>
      <c r="V9" s="1554" t="s">
        <v>8</v>
      </c>
      <c r="W9" s="1555">
        <f t="shared" si="2"/>
        <v>100</v>
      </c>
      <c r="X9" s="1556"/>
      <c r="Y9" s="3379" t="s">
        <v>536</v>
      </c>
      <c r="Z9" s="1146" t="str">
        <f t="shared" ref="Z9:Z15" si="7">Q9</f>
        <v>用途</v>
      </c>
      <c r="AA9" s="1557">
        <f t="shared" si="3"/>
        <v>1</v>
      </c>
      <c r="AB9" s="1557">
        <f t="shared" si="4"/>
        <v>1</v>
      </c>
      <c r="AC9" s="1557">
        <f t="shared" si="5"/>
        <v>1</v>
      </c>
    </row>
    <row r="10" spans="1:29" s="1334" customFormat="1" ht="27">
      <c r="A10" s="2869"/>
      <c r="B10" s="2874" t="s">
        <v>2755</v>
      </c>
      <c r="C10" s="861" t="s">
        <v>3564</v>
      </c>
      <c r="D10" s="255">
        <v>100</v>
      </c>
      <c r="E10" s="862" t="s">
        <v>3564</v>
      </c>
      <c r="F10" s="863">
        <f>SUMIF(65:65,E10,66:66)-SUMIF(65:65,C10,66:66)+100</f>
        <v>100</v>
      </c>
      <c r="G10" s="861" t="s">
        <v>3564</v>
      </c>
      <c r="H10" s="255">
        <f>SUMIF(65:65,G10,66:66)-SUMIF(65:65,C10,66:66)+100</f>
        <v>100</v>
      </c>
      <c r="I10" s="862" t="s">
        <v>3564</v>
      </c>
      <c r="J10" s="255">
        <f>SUMIF(65:65,I10,66:66)-SUMIF(65:65,C10,66:66)+100</f>
        <v>100</v>
      </c>
      <c r="K10" s="864">
        <v>1</v>
      </c>
      <c r="L10" s="2122"/>
      <c r="M10" s="2162"/>
      <c r="N10" s="2162"/>
      <c r="O10" s="2123"/>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75" thickBot="1">
      <c r="A11" s="2870"/>
      <c r="B11" s="2874" t="s">
        <v>2756</v>
      </c>
      <c r="C11" s="533">
        <f>'数据-汇总表'!I6</f>
        <v>1.2</v>
      </c>
      <c r="D11" s="255">
        <v>100</v>
      </c>
      <c r="E11" s="534">
        <v>2.4</v>
      </c>
      <c r="F11" s="863">
        <f>LOOKUP(E11,68:68,69:69)-LOOKUP(C11,68:68,69:69)+100</f>
        <v>94</v>
      </c>
      <c r="G11" s="533">
        <v>1.2</v>
      </c>
      <c r="H11" s="255">
        <f>LOOKUP(G11,68:68,69:69)-LOOKUP(C11,68:68,69:69)+100</f>
        <v>100</v>
      </c>
      <c r="I11" s="533">
        <v>1.2</v>
      </c>
      <c r="J11" s="255">
        <f>LOOKUP(I11,68:68,69:69)-LOOKUP(C11,68:68,69:69)+100</f>
        <v>100</v>
      </c>
      <c r="K11" s="864">
        <v>3</v>
      </c>
      <c r="L11" s="2124"/>
      <c r="M11" s="2118"/>
      <c r="N11" s="2118"/>
      <c r="O11" s="2125"/>
      <c r="P11" s="3433"/>
      <c r="Q11" s="1147" t="str">
        <f t="shared" si="6"/>
        <v>容积率</v>
      </c>
      <c r="R11" s="1554" t="s">
        <v>11</v>
      </c>
      <c r="S11" s="1555">
        <f t="shared" si="0"/>
        <v>94</v>
      </c>
      <c r="T11" s="1554" t="s">
        <v>11</v>
      </c>
      <c r="U11" s="1555">
        <f t="shared" si="1"/>
        <v>100</v>
      </c>
      <c r="V11" s="1554" t="s">
        <v>11</v>
      </c>
      <c r="W11" s="1555">
        <f t="shared" si="2"/>
        <v>100</v>
      </c>
      <c r="X11" s="1556"/>
      <c r="Y11" s="3379"/>
      <c r="Z11" s="1146" t="str">
        <f t="shared" si="7"/>
        <v>容积率</v>
      </c>
      <c r="AA11" s="1557">
        <f t="shared" si="3"/>
        <v>1.0638297872340425</v>
      </c>
      <c r="AB11" s="1557">
        <f t="shared" si="4"/>
        <v>1</v>
      </c>
      <c r="AC11" s="1557">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33"/>
      <c r="Q12" s="1147">
        <f t="shared" si="6"/>
        <v>0</v>
      </c>
      <c r="R12" s="1554" t="s">
        <v>11</v>
      </c>
      <c r="S12" s="1555">
        <f t="shared" si="0"/>
        <v>100</v>
      </c>
      <c r="T12" s="1554" t="s">
        <v>11</v>
      </c>
      <c r="U12" s="1555">
        <f t="shared" si="1"/>
        <v>100</v>
      </c>
      <c r="V12" s="1554" t="s">
        <v>11</v>
      </c>
      <c r="W12" s="1555">
        <f t="shared" si="2"/>
        <v>100</v>
      </c>
      <c r="X12" s="1556"/>
      <c r="Y12" s="3379"/>
      <c r="Z12" s="1146">
        <f t="shared" si="7"/>
        <v>0</v>
      </c>
      <c r="AA12" s="1557">
        <f>D12/F12</f>
        <v>1</v>
      </c>
      <c r="AB12" s="1557">
        <f>D12/H12</f>
        <v>1</v>
      </c>
      <c r="AC12" s="1557">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33"/>
      <c r="Q13" s="1147">
        <f t="shared" si="6"/>
        <v>0</v>
      </c>
      <c r="R13" s="1554" t="s">
        <v>11</v>
      </c>
      <c r="S13" s="1555">
        <f t="shared" si="0"/>
        <v>100</v>
      </c>
      <c r="T13" s="1554" t="s">
        <v>11</v>
      </c>
      <c r="U13" s="1555">
        <f t="shared" si="1"/>
        <v>100</v>
      </c>
      <c r="V13" s="1554" t="s">
        <v>11</v>
      </c>
      <c r="W13" s="1555">
        <f t="shared" si="2"/>
        <v>100</v>
      </c>
      <c r="X13" s="1556"/>
      <c r="Y13" s="3379"/>
      <c r="Z13" s="1146">
        <f t="shared" si="7"/>
        <v>0</v>
      </c>
      <c r="AA13" s="1557">
        <f t="shared" si="3"/>
        <v>1</v>
      </c>
      <c r="AB13" s="1557">
        <f t="shared" si="4"/>
        <v>1</v>
      </c>
      <c r="AC13" s="1557">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33"/>
      <c r="Q14" s="1147">
        <f t="shared" si="6"/>
        <v>0</v>
      </c>
      <c r="R14" s="1554" t="s">
        <v>11</v>
      </c>
      <c r="S14" s="1555">
        <f t="shared" si="0"/>
        <v>100</v>
      </c>
      <c r="T14" s="1554" t="s">
        <v>11</v>
      </c>
      <c r="U14" s="1555">
        <f t="shared" si="1"/>
        <v>100</v>
      </c>
      <c r="V14" s="1554" t="s">
        <v>11</v>
      </c>
      <c r="W14" s="1555">
        <f t="shared" si="2"/>
        <v>100</v>
      </c>
      <c r="X14" s="1556"/>
      <c r="Y14" s="3379"/>
      <c r="Z14" s="1146">
        <f t="shared" si="7"/>
        <v>0</v>
      </c>
      <c r="AA14" s="1557">
        <f t="shared" si="3"/>
        <v>1</v>
      </c>
      <c r="AB14" s="1557">
        <f t="shared" si="4"/>
        <v>1</v>
      </c>
      <c r="AC14" s="1557">
        <f t="shared" si="5"/>
        <v>1</v>
      </c>
    </row>
    <row r="15" spans="1:29" ht="57">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6"/>
      <c r="M15" s="2118"/>
      <c r="N15" s="2118"/>
      <c r="O15" s="2125"/>
      <c r="P15" s="3467" t="s">
        <v>540</v>
      </c>
      <c r="Q15" s="1558" t="str">
        <f t="shared" si="6"/>
        <v>居住社区成熟度</v>
      </c>
      <c r="R15" s="1559" t="s">
        <v>11</v>
      </c>
      <c r="S15" s="1560">
        <f t="shared" si="0"/>
        <v>105</v>
      </c>
      <c r="T15" s="1559" t="s">
        <v>11</v>
      </c>
      <c r="U15" s="1560">
        <f t="shared" si="1"/>
        <v>105</v>
      </c>
      <c r="V15" s="1559" t="s">
        <v>11</v>
      </c>
      <c r="W15" s="1560">
        <f t="shared" si="2"/>
        <v>105</v>
      </c>
      <c r="X15" s="1553"/>
      <c r="Y15" s="3467" t="s">
        <v>540</v>
      </c>
      <c r="Z15" s="1561" t="str">
        <f t="shared" si="7"/>
        <v>居住社区成熟度</v>
      </c>
      <c r="AA15" s="1562">
        <f t="shared" si="3"/>
        <v>0.95238095238095233</v>
      </c>
      <c r="AB15" s="1562">
        <f t="shared" si="4"/>
        <v>0.95238095238095233</v>
      </c>
      <c r="AC15" s="1562">
        <f t="shared" si="5"/>
        <v>0.95238095238095233</v>
      </c>
    </row>
    <row r="16" spans="1:29" ht="15">
      <c r="A16" s="532"/>
      <c r="B16" s="869"/>
      <c r="C16" s="576" t="s">
        <v>3550</v>
      </c>
      <c r="D16" s="555"/>
      <c r="E16" s="556" t="s">
        <v>3552</v>
      </c>
      <c r="F16" s="557"/>
      <c r="G16" s="558" t="s">
        <v>3552</v>
      </c>
      <c r="H16" s="559"/>
      <c r="I16" s="556" t="s">
        <v>3552</v>
      </c>
      <c r="J16" s="555"/>
      <c r="K16" s="870"/>
      <c r="L16" s="2126"/>
      <c r="M16" s="2118"/>
      <c r="N16" s="2118"/>
      <c r="O16" s="2125"/>
      <c r="P16" s="3468"/>
      <c r="Q16" s="1558"/>
      <c r="R16" s="1559"/>
      <c r="S16" s="1560"/>
      <c r="T16" s="1559"/>
      <c r="U16" s="1560"/>
      <c r="V16" s="1559"/>
      <c r="W16" s="1560"/>
      <c r="X16" s="1553"/>
      <c r="Y16" s="3468"/>
      <c r="Z16" s="1561"/>
      <c r="AA16" s="1562">
        <v>1</v>
      </c>
      <c r="AB16" s="1562">
        <v>1</v>
      </c>
      <c r="AC16" s="1562">
        <v>1</v>
      </c>
    </row>
    <row r="17" spans="1:29" ht="57">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26"/>
      <c r="M17" s="2118"/>
      <c r="N17" s="2118"/>
      <c r="O17" s="2125"/>
      <c r="P17" s="3468"/>
      <c r="Q17" s="1558" t="str">
        <f>B17</f>
        <v>交通便捷度</v>
      </c>
      <c r="R17" s="1559" t="s">
        <v>11</v>
      </c>
      <c r="S17" s="1560">
        <f>F17</f>
        <v>103</v>
      </c>
      <c r="T17" s="1559" t="s">
        <v>11</v>
      </c>
      <c r="U17" s="1560">
        <f>H17</f>
        <v>103</v>
      </c>
      <c r="V17" s="1559" t="s">
        <v>11</v>
      </c>
      <c r="W17" s="1560">
        <f>J17</f>
        <v>103</v>
      </c>
      <c r="X17" s="1553"/>
      <c r="Y17" s="3468"/>
      <c r="Z17" s="1561" t="str">
        <f>Q17</f>
        <v>交通便捷度</v>
      </c>
      <c r="AA17" s="1562">
        <f t="shared" si="3"/>
        <v>0.970873786407767</v>
      </c>
      <c r="AB17" s="1562">
        <f t="shared" si="4"/>
        <v>0.970873786407767</v>
      </c>
      <c r="AC17" s="1562">
        <f t="shared" si="5"/>
        <v>0.970873786407767</v>
      </c>
    </row>
    <row r="18" spans="1:29" ht="15">
      <c r="A18" s="532"/>
      <c r="B18" s="595"/>
      <c r="C18" s="873" t="s">
        <v>3552</v>
      </c>
      <c r="D18" s="559"/>
      <c r="E18" s="556" t="s">
        <v>3551</v>
      </c>
      <c r="F18" s="563"/>
      <c r="G18" s="558" t="s">
        <v>3551</v>
      </c>
      <c r="H18" s="555"/>
      <c r="I18" s="556" t="s">
        <v>3551</v>
      </c>
      <c r="J18" s="555"/>
      <c r="K18" s="870"/>
      <c r="L18" s="2126"/>
      <c r="M18" s="2118"/>
      <c r="N18" s="2118"/>
      <c r="O18" s="2125"/>
      <c r="P18" s="3468"/>
      <c r="Q18" s="1558"/>
      <c r="R18" s="1559"/>
      <c r="S18" s="1560"/>
      <c r="T18" s="1559"/>
      <c r="U18" s="1560"/>
      <c r="V18" s="1559"/>
      <c r="W18" s="1560"/>
      <c r="X18" s="1553"/>
      <c r="Y18" s="3468"/>
      <c r="Z18" s="1561"/>
      <c r="AA18" s="1562">
        <v>1</v>
      </c>
      <c r="AB18" s="1562">
        <v>1</v>
      </c>
      <c r="AC18" s="1562">
        <v>1</v>
      </c>
    </row>
    <row r="19" spans="1:29" ht="28.5">
      <c r="A19" s="532"/>
      <c r="B19" s="2563" t="s">
        <v>2545</v>
      </c>
      <c r="C19" s="872" t="str">
        <f>估价对象房地状况!C7</f>
        <v>估价对象所在区域公共配套设施齐备情况</v>
      </c>
      <c r="D19" s="565">
        <v>100</v>
      </c>
      <c r="E19" s="570"/>
      <c r="F19" s="571">
        <f>SUMIF(80:80,E20,81:81)-SUMIF(80:80,C20,81:81)+100</f>
        <v>105</v>
      </c>
      <c r="G19" s="572"/>
      <c r="H19" s="559">
        <f>SUMIF(80:80,G20,81:81)-SUMIF(80:80,C20,81:81)+100</f>
        <v>105</v>
      </c>
      <c r="I19" s="570"/>
      <c r="J19" s="559">
        <f>SUMIF(80:80,I20,81:81)-SUMIF(80:80,C20,81:81)+100</f>
        <v>105</v>
      </c>
      <c r="K19" s="3568">
        <v>5</v>
      </c>
      <c r="L19" s="2126"/>
      <c r="M19" s="2118"/>
      <c r="N19" s="2118"/>
      <c r="O19" s="2125"/>
      <c r="P19" s="3468"/>
      <c r="Q19" s="1558" t="str">
        <f>B19</f>
        <v>公共配套设施</v>
      </c>
      <c r="R19" s="1559" t="s">
        <v>11</v>
      </c>
      <c r="S19" s="1560">
        <f>F19</f>
        <v>105</v>
      </c>
      <c r="T19" s="1559" t="s">
        <v>11</v>
      </c>
      <c r="U19" s="1560">
        <f>H19</f>
        <v>105</v>
      </c>
      <c r="V19" s="1559" t="s">
        <v>11</v>
      </c>
      <c r="W19" s="1560">
        <f>J19</f>
        <v>105</v>
      </c>
      <c r="X19" s="1553"/>
      <c r="Y19" s="3468"/>
      <c r="Z19" s="1561" t="str">
        <f>Q19</f>
        <v>公共配套设施</v>
      </c>
      <c r="AA19" s="1562">
        <f t="shared" si="3"/>
        <v>0.95238095238095233</v>
      </c>
      <c r="AB19" s="1562">
        <f t="shared" si="4"/>
        <v>0.95238095238095233</v>
      </c>
      <c r="AC19" s="1562">
        <f t="shared" si="5"/>
        <v>0.95238095238095233</v>
      </c>
    </row>
    <row r="20" spans="1:29" ht="15">
      <c r="A20" s="532"/>
      <c r="B20" s="595"/>
      <c r="C20" s="576" t="s">
        <v>3550</v>
      </c>
      <c r="D20" s="555"/>
      <c r="E20" s="556" t="s">
        <v>3552</v>
      </c>
      <c r="F20" s="557"/>
      <c r="G20" s="558" t="s">
        <v>3552</v>
      </c>
      <c r="H20" s="555"/>
      <c r="I20" s="556" t="s">
        <v>3552</v>
      </c>
      <c r="J20" s="555"/>
      <c r="K20" s="870"/>
      <c r="L20" s="2126"/>
      <c r="M20" s="2118"/>
      <c r="N20" s="2118"/>
      <c r="O20" s="2125"/>
      <c r="P20" s="3468"/>
      <c r="Q20" s="1558"/>
      <c r="R20" s="1559"/>
      <c r="S20" s="1560"/>
      <c r="T20" s="1559"/>
      <c r="U20" s="1560"/>
      <c r="V20" s="1559"/>
      <c r="W20" s="1560"/>
      <c r="X20" s="1553"/>
      <c r="Y20" s="3468"/>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6"/>
      <c r="M21" s="2118"/>
      <c r="N21" s="2118"/>
      <c r="O21" s="2125"/>
      <c r="P21" s="3468"/>
      <c r="Q21" s="2542" t="str">
        <f>B21</f>
        <v>基础设施水平</v>
      </c>
      <c r="R21" s="1559" t="s">
        <v>11</v>
      </c>
      <c r="S21" s="1560">
        <f>F21</f>
        <v>100</v>
      </c>
      <c r="T21" s="1559" t="s">
        <v>11</v>
      </c>
      <c r="U21" s="1560">
        <f>H21</f>
        <v>100</v>
      </c>
      <c r="V21" s="1559" t="s">
        <v>11</v>
      </c>
      <c r="W21" s="1560">
        <f>J21</f>
        <v>100</v>
      </c>
      <c r="X21" s="2544"/>
      <c r="Y21" s="3468"/>
      <c r="Z21" s="2543" t="str">
        <f>Q21</f>
        <v>基础设施水平</v>
      </c>
      <c r="AA21" s="1562">
        <f t="shared" ref="AA21" si="8">D21/F21</f>
        <v>1</v>
      </c>
      <c r="AB21" s="1562">
        <f t="shared" ref="AB21" si="9">D21/H21</f>
        <v>1</v>
      </c>
      <c r="AC21" s="1562">
        <f t="shared" ref="AC21" si="10">D21/J21</f>
        <v>1</v>
      </c>
    </row>
    <row r="22" spans="1:29" ht="15">
      <c r="A22" s="532"/>
      <c r="B22" s="922"/>
      <c r="C22" s="873" t="s">
        <v>3553</v>
      </c>
      <c r="D22" s="555"/>
      <c r="E22" s="576" t="s">
        <v>3553</v>
      </c>
      <c r="F22" s="557"/>
      <c r="G22" s="576" t="s">
        <v>3553</v>
      </c>
      <c r="H22" s="555"/>
      <c r="I22" s="576" t="s">
        <v>3553</v>
      </c>
      <c r="J22" s="555"/>
      <c r="K22" s="2562"/>
      <c r="L22" s="2126"/>
      <c r="M22" s="2118"/>
      <c r="N22" s="2118"/>
      <c r="O22" s="2125"/>
      <c r="P22" s="3468"/>
      <c r="Q22" s="2542"/>
      <c r="R22" s="1559"/>
      <c r="S22" s="1560"/>
      <c r="T22" s="1559"/>
      <c r="U22" s="1560"/>
      <c r="V22" s="1559"/>
      <c r="W22" s="1560"/>
      <c r="X22" s="2544"/>
      <c r="Y22" s="3468"/>
      <c r="Z22" s="2543"/>
      <c r="AA22" s="1562">
        <v>1</v>
      </c>
      <c r="AB22" s="1562">
        <v>1</v>
      </c>
      <c r="AC22" s="1562">
        <v>1</v>
      </c>
    </row>
    <row r="23" spans="1:29" ht="28.5">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6"/>
      <c r="M23" s="2118"/>
      <c r="N23" s="2118"/>
      <c r="O23" s="2125"/>
      <c r="P23" s="3468"/>
      <c r="Q23" s="1558" t="str">
        <f>B23</f>
        <v>自然及人文环境</v>
      </c>
      <c r="R23" s="1559" t="s">
        <v>11</v>
      </c>
      <c r="S23" s="1560">
        <f>F23</f>
        <v>100</v>
      </c>
      <c r="T23" s="1559" t="s">
        <v>11</v>
      </c>
      <c r="U23" s="1560">
        <f>H23</f>
        <v>100</v>
      </c>
      <c r="V23" s="1559" t="s">
        <v>11</v>
      </c>
      <c r="W23" s="1560">
        <f>J23</f>
        <v>100</v>
      </c>
      <c r="X23" s="1553"/>
      <c r="Y23" s="3468"/>
      <c r="Z23" s="1561" t="str">
        <f>Q23</f>
        <v>自然及人文环境</v>
      </c>
      <c r="AA23" s="1562">
        <f t="shared" si="3"/>
        <v>1</v>
      </c>
      <c r="AB23" s="1562">
        <f t="shared" si="4"/>
        <v>1</v>
      </c>
      <c r="AC23" s="1562">
        <f t="shared" si="5"/>
        <v>1</v>
      </c>
    </row>
    <row r="24" spans="1:29" ht="15.75" thickBot="1">
      <c r="A24" s="532"/>
      <c r="B24" s="595"/>
      <c r="C24" s="576" t="s">
        <v>3545</v>
      </c>
      <c r="D24" s="555"/>
      <c r="E24" s="556" t="s">
        <v>3545</v>
      </c>
      <c r="F24" s="557"/>
      <c r="G24" s="558" t="s">
        <v>3545</v>
      </c>
      <c r="H24" s="555"/>
      <c r="I24" s="556" t="s">
        <v>3545</v>
      </c>
      <c r="J24" s="555"/>
      <c r="K24" s="870"/>
      <c r="L24" s="2126"/>
      <c r="M24" s="2118"/>
      <c r="N24" s="2118"/>
      <c r="O24" s="2125"/>
      <c r="P24" s="3468"/>
      <c r="Q24" s="1558"/>
      <c r="R24" s="1559"/>
      <c r="S24" s="1560"/>
      <c r="T24" s="1559"/>
      <c r="U24" s="1560"/>
      <c r="V24" s="1559"/>
      <c r="W24" s="1560"/>
      <c r="X24" s="1553"/>
      <c r="Y24" s="3468"/>
      <c r="Z24" s="1561"/>
      <c r="AA24" s="1562">
        <v>1</v>
      </c>
      <c r="AB24" s="1562">
        <v>1</v>
      </c>
      <c r="AC24" s="1562">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68"/>
      <c r="Q25" s="1558" t="str">
        <f t="shared" ref="Q25:Q46" si="11">B25</f>
        <v>楼层-1</v>
      </c>
      <c r="R25" s="1559" t="s">
        <v>11</v>
      </c>
      <c r="S25" s="1560">
        <f>F25</f>
        <v>100</v>
      </c>
      <c r="T25" s="1559" t="s">
        <v>11</v>
      </c>
      <c r="U25" s="1560">
        <f>H25</f>
        <v>100</v>
      </c>
      <c r="V25" s="1559" t="s">
        <v>11</v>
      </c>
      <c r="W25" s="1560">
        <f>J25</f>
        <v>100</v>
      </c>
      <c r="X25" s="1553"/>
      <c r="Y25" s="3468"/>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68"/>
      <c r="Q26" s="1558" t="str">
        <f t="shared" si="11"/>
        <v>朝向</v>
      </c>
      <c r="R26" s="1559" t="s">
        <v>11</v>
      </c>
      <c r="S26" s="1560">
        <f>F26</f>
        <v>100</v>
      </c>
      <c r="T26" s="1559" t="s">
        <v>11</v>
      </c>
      <c r="U26" s="1560">
        <f>H26</f>
        <v>100</v>
      </c>
      <c r="V26" s="1559" t="s">
        <v>11</v>
      </c>
      <c r="W26" s="1560">
        <f>J26</f>
        <v>100</v>
      </c>
      <c r="X26" s="1553"/>
      <c r="Y26" s="3468"/>
      <c r="Z26" s="1561" t="str">
        <f>Q26</f>
        <v>朝向</v>
      </c>
      <c r="AA26" s="1562">
        <f t="shared" si="3"/>
        <v>1</v>
      </c>
      <c r="AB26" s="1562">
        <f t="shared" si="4"/>
        <v>1</v>
      </c>
      <c r="AC26" s="1562">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68"/>
      <c r="Q27" s="1147" t="str">
        <f t="shared" si="11"/>
        <v>道路级别</v>
      </c>
      <c r="R27" s="1554" t="s">
        <v>11</v>
      </c>
      <c r="S27" s="1555">
        <f>F27</f>
        <v>100</v>
      </c>
      <c r="T27" s="1554" t="s">
        <v>11</v>
      </c>
      <c r="U27" s="1555">
        <f>H27</f>
        <v>100</v>
      </c>
      <c r="V27" s="1554" t="s">
        <v>11</v>
      </c>
      <c r="W27" s="1555">
        <f>J27</f>
        <v>100</v>
      </c>
      <c r="X27" s="1556"/>
      <c r="Y27" s="3468"/>
      <c r="Z27" s="1146" t="str">
        <f>Q27</f>
        <v>道路级别</v>
      </c>
      <c r="AA27" s="1562">
        <f>D27/F27</f>
        <v>1</v>
      </c>
      <c r="AB27" s="1562">
        <f>D27/H27</f>
        <v>1</v>
      </c>
      <c r="AC27" s="1562">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68"/>
      <c r="Q28" s="1558">
        <f t="shared" si="11"/>
        <v>0</v>
      </c>
      <c r="R28" s="1559" t="s">
        <v>11</v>
      </c>
      <c r="S28" s="1560">
        <f t="shared" ref="S28:S46" si="12">F28</f>
        <v>100</v>
      </c>
      <c r="T28" s="1559" t="s">
        <v>11</v>
      </c>
      <c r="U28" s="1560">
        <f t="shared" ref="U28:U46" si="13">H28</f>
        <v>100</v>
      </c>
      <c r="V28" s="1559" t="s">
        <v>11</v>
      </c>
      <c r="W28" s="1560">
        <f t="shared" ref="W28:W46" si="14">J28</f>
        <v>100</v>
      </c>
      <c r="X28" s="1553"/>
      <c r="Y28" s="3468"/>
      <c r="Z28" s="1561">
        <f t="shared" ref="Z28:Z46" si="15">Q28</f>
        <v>0</v>
      </c>
      <c r="AA28" s="1562">
        <f t="shared" si="3"/>
        <v>1</v>
      </c>
      <c r="AB28" s="1562">
        <f t="shared" si="4"/>
        <v>1</v>
      </c>
      <c r="AC28" s="1562">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68"/>
      <c r="Q29" s="1558">
        <f t="shared" si="11"/>
        <v>0</v>
      </c>
      <c r="R29" s="1559" t="s">
        <v>11</v>
      </c>
      <c r="S29" s="1560">
        <f t="shared" si="12"/>
        <v>100</v>
      </c>
      <c r="T29" s="1559" t="s">
        <v>11</v>
      </c>
      <c r="U29" s="1560">
        <f t="shared" si="13"/>
        <v>100</v>
      </c>
      <c r="V29" s="1559" t="s">
        <v>11</v>
      </c>
      <c r="W29" s="1560">
        <f t="shared" si="14"/>
        <v>100</v>
      </c>
      <c r="X29" s="1553"/>
      <c r="Y29" s="3468"/>
      <c r="Z29" s="1561">
        <f t="shared" si="15"/>
        <v>0</v>
      </c>
      <c r="AA29" s="1562">
        <f t="shared" si="3"/>
        <v>1</v>
      </c>
      <c r="AB29" s="1562">
        <f t="shared" si="4"/>
        <v>1</v>
      </c>
      <c r="AC29" s="1562">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68"/>
      <c r="Q30" s="1558">
        <f t="shared" si="11"/>
        <v>0</v>
      </c>
      <c r="R30" s="1559" t="s">
        <v>11</v>
      </c>
      <c r="S30" s="1560">
        <f t="shared" si="12"/>
        <v>100</v>
      </c>
      <c r="T30" s="1559" t="s">
        <v>11</v>
      </c>
      <c r="U30" s="1560">
        <f t="shared" si="13"/>
        <v>100</v>
      </c>
      <c r="V30" s="1559" t="s">
        <v>11</v>
      </c>
      <c r="W30" s="1560">
        <f t="shared" si="14"/>
        <v>100</v>
      </c>
      <c r="X30" s="1553"/>
      <c r="Y30" s="3468"/>
      <c r="Z30" s="1561">
        <f t="shared" si="15"/>
        <v>0</v>
      </c>
      <c r="AA30" s="1562">
        <f t="shared" si="3"/>
        <v>1</v>
      </c>
      <c r="AB30" s="1562">
        <f t="shared" si="4"/>
        <v>1</v>
      </c>
      <c r="AC30" s="1562">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68"/>
      <c r="Q31" s="1558">
        <f t="shared" si="11"/>
        <v>0</v>
      </c>
      <c r="R31" s="1559" t="s">
        <v>11</v>
      </c>
      <c r="S31" s="1560">
        <f t="shared" si="12"/>
        <v>100</v>
      </c>
      <c r="T31" s="1559" t="s">
        <v>11</v>
      </c>
      <c r="U31" s="1560">
        <f t="shared" si="13"/>
        <v>100</v>
      </c>
      <c r="V31" s="1559" t="s">
        <v>11</v>
      </c>
      <c r="W31" s="1560">
        <f t="shared" si="14"/>
        <v>100</v>
      </c>
      <c r="X31" s="1553"/>
      <c r="Y31" s="3468"/>
      <c r="Z31" s="1561">
        <f t="shared" si="15"/>
        <v>0</v>
      </c>
      <c r="AA31" s="1562">
        <f t="shared" si="3"/>
        <v>1</v>
      </c>
      <c r="AB31" s="1562">
        <f t="shared" si="4"/>
        <v>1</v>
      </c>
      <c r="AC31" s="1562">
        <f t="shared" si="5"/>
        <v>1</v>
      </c>
    </row>
    <row r="32" spans="1:29" ht="15">
      <c r="A32" s="2861" t="s">
        <v>2753</v>
      </c>
      <c r="B32" s="172" t="s">
        <v>725</v>
      </c>
      <c r="C32" s="878" t="s">
        <v>3263</v>
      </c>
      <c r="D32" s="597">
        <v>100</v>
      </c>
      <c r="E32" s="879" t="s">
        <v>3261</v>
      </c>
      <c r="F32" s="575">
        <f>SUMIF(100:100,E32,101:101)-SUMIF(100:100,C32,101:101)+100</f>
        <v>110</v>
      </c>
      <c r="G32" s="878" t="s">
        <v>3263</v>
      </c>
      <c r="H32" s="597">
        <f>SUMIF(100:100,G32,101:101)-SUMIF(100:100,C32,101:101)+100</f>
        <v>100</v>
      </c>
      <c r="I32" s="879" t="s">
        <v>3263</v>
      </c>
      <c r="J32" s="540">
        <f>SUMIF(100:100,I32,101:101)-SUMIF(100:100,C32,101:101)+100</f>
        <v>100</v>
      </c>
      <c r="K32" s="864">
        <v>10</v>
      </c>
      <c r="L32" s="2126"/>
      <c r="M32" s="2118"/>
      <c r="N32" s="2118"/>
      <c r="O32" s="2125"/>
      <c r="P32" s="3469" t="s">
        <v>550</v>
      </c>
      <c r="Q32" s="1558" t="str">
        <f t="shared" si="11"/>
        <v>建筑类型</v>
      </c>
      <c r="R32" s="1559" t="s">
        <v>11</v>
      </c>
      <c r="S32" s="1560">
        <f t="shared" si="12"/>
        <v>110</v>
      </c>
      <c r="T32" s="1559" t="s">
        <v>11</v>
      </c>
      <c r="U32" s="1560">
        <f t="shared" si="13"/>
        <v>100</v>
      </c>
      <c r="V32" s="1559" t="s">
        <v>11</v>
      </c>
      <c r="W32" s="1560">
        <f t="shared" si="14"/>
        <v>100</v>
      </c>
      <c r="X32" s="1553"/>
      <c r="Y32" s="3470" t="s">
        <v>550</v>
      </c>
      <c r="Z32" s="1561" t="str">
        <f t="shared" si="15"/>
        <v>建筑类型</v>
      </c>
      <c r="AA32" s="1562">
        <f t="shared" si="3"/>
        <v>0.90909090909090906</v>
      </c>
      <c r="AB32" s="1562">
        <f t="shared" si="4"/>
        <v>1</v>
      </c>
      <c r="AC32" s="1562">
        <f t="shared" si="5"/>
        <v>1</v>
      </c>
    </row>
    <row r="33" spans="1:29" s="1335" customFormat="1" ht="15">
      <c r="A33" s="603"/>
      <c r="B33" s="527" t="s">
        <v>726</v>
      </c>
      <c r="C33" s="880">
        <f>'数据-汇总表'!E3</f>
        <v>311402</v>
      </c>
      <c r="D33" s="255">
        <v>100</v>
      </c>
      <c r="E33" s="534">
        <v>1340000</v>
      </c>
      <c r="F33" s="863">
        <f>LOOKUP(E33,103:103,104:104)-LOOKUP(C33,103:103,104:104)+100</f>
        <v>100</v>
      </c>
      <c r="G33" s="533">
        <v>380000</v>
      </c>
      <c r="H33" s="255">
        <f>LOOKUP(G33,103:103,104:104)-LOOKUP(C33,103:103,104:104)+100</f>
        <v>100</v>
      </c>
      <c r="I33" s="534">
        <v>120000</v>
      </c>
      <c r="J33" s="255">
        <f>LOOKUP(I33,103:103,104:104)-LOOKUP(C33,103:103,104:104)+100</f>
        <v>100</v>
      </c>
      <c r="K33" s="865"/>
      <c r="L33" s="2124"/>
      <c r="M33" s="2155"/>
      <c r="N33" s="2155"/>
      <c r="O33" s="2127"/>
      <c r="P33" s="3470"/>
      <c r="Q33" s="1590" t="str">
        <f t="shared" si="11"/>
        <v>项目建筑规模</v>
      </c>
      <c r="R33" s="1563" t="s">
        <v>11</v>
      </c>
      <c r="S33" s="1564">
        <f t="shared" si="12"/>
        <v>100</v>
      </c>
      <c r="T33" s="1563" t="s">
        <v>11</v>
      </c>
      <c r="U33" s="1564">
        <f t="shared" si="13"/>
        <v>100</v>
      </c>
      <c r="V33" s="1563" t="s">
        <v>11</v>
      </c>
      <c r="W33" s="1564">
        <f t="shared" si="14"/>
        <v>100</v>
      </c>
      <c r="X33" s="1565"/>
      <c r="Y33" s="3470"/>
      <c r="Z33" s="1566" t="str">
        <f t="shared" si="15"/>
        <v>项目建筑规模</v>
      </c>
      <c r="AA33" s="1562">
        <f t="shared" si="3"/>
        <v>1</v>
      </c>
      <c r="AB33" s="1562">
        <f t="shared" si="4"/>
        <v>1</v>
      </c>
      <c r="AC33" s="1562">
        <f t="shared" si="5"/>
        <v>1</v>
      </c>
    </row>
    <row r="34" spans="1:29" ht="15">
      <c r="A34" s="594"/>
      <c r="B34" s="527" t="s">
        <v>727</v>
      </c>
      <c r="C34" s="881" t="s">
        <v>3255</v>
      </c>
      <c r="D34" s="540">
        <v>100</v>
      </c>
      <c r="E34" s="881" t="s">
        <v>3255</v>
      </c>
      <c r="F34" s="575">
        <f>SUMIF(105:105,E34,106:106)-SUMIF(105:105,C34,106:106)+100</f>
        <v>100</v>
      </c>
      <c r="G34" s="881" t="s">
        <v>3255</v>
      </c>
      <c r="H34" s="540">
        <f>SUMIF(105:105,G34,106:106)-SUMIF(105:105,C34,106:106)+100</f>
        <v>100</v>
      </c>
      <c r="I34" s="881" t="s">
        <v>3255</v>
      </c>
      <c r="J34" s="540">
        <f>SUMIF(105:105,I34,106:106)-SUMIF(105:105,C34,106:106)+100</f>
        <v>100</v>
      </c>
      <c r="K34" s="864">
        <v>2</v>
      </c>
      <c r="L34" s="2126"/>
      <c r="M34" s="2118"/>
      <c r="N34" s="2118"/>
      <c r="O34" s="2125"/>
      <c r="P34" s="3470"/>
      <c r="Q34" s="1558" t="str">
        <f t="shared" si="11"/>
        <v>建筑结构</v>
      </c>
      <c r="R34" s="1559" t="s">
        <v>11</v>
      </c>
      <c r="S34" s="1560">
        <f t="shared" si="12"/>
        <v>100</v>
      </c>
      <c r="T34" s="1559" t="s">
        <v>11</v>
      </c>
      <c r="U34" s="1560">
        <f t="shared" si="13"/>
        <v>100</v>
      </c>
      <c r="V34" s="1559" t="s">
        <v>11</v>
      </c>
      <c r="W34" s="1560">
        <f t="shared" si="14"/>
        <v>100</v>
      </c>
      <c r="X34" s="1553"/>
      <c r="Y34" s="3470"/>
      <c r="Z34" s="1561" t="str">
        <f t="shared" si="15"/>
        <v>建筑结构</v>
      </c>
      <c r="AA34" s="1562">
        <f t="shared" si="3"/>
        <v>1</v>
      </c>
      <c r="AB34" s="1562">
        <f t="shared" si="4"/>
        <v>1</v>
      </c>
      <c r="AC34" s="1562">
        <f t="shared" si="5"/>
        <v>1</v>
      </c>
    </row>
    <row r="35" spans="1:29" ht="15">
      <c r="A35" s="594"/>
      <c r="B35" s="527" t="s">
        <v>728</v>
      </c>
      <c r="C35" s="599" t="s">
        <v>3569</v>
      </c>
      <c r="D35" s="540">
        <v>100</v>
      </c>
      <c r="E35" s="599" t="s">
        <v>3569</v>
      </c>
      <c r="F35" s="575">
        <f>SUMIF(107:107,E35,108:108)-SUMIF(107:107,C35,108:108)+100</f>
        <v>100</v>
      </c>
      <c r="G35" s="599" t="s">
        <v>3569</v>
      </c>
      <c r="H35" s="540">
        <f>SUMIF(107:107,G35,108:108)-SUMIF(107:107,C35,108:108)+100</f>
        <v>100</v>
      </c>
      <c r="I35" s="599" t="s">
        <v>3569</v>
      </c>
      <c r="J35" s="540">
        <f>SUMIF(107:107,I35,108:108)-SUMIF(107:107,C35,108:108)+100</f>
        <v>100</v>
      </c>
      <c r="K35" s="864">
        <v>2</v>
      </c>
      <c r="L35" s="2126"/>
      <c r="M35" s="2118"/>
      <c r="N35" s="2118"/>
      <c r="O35" s="2125"/>
      <c r="P35" s="3470"/>
      <c r="Q35" s="1558" t="str">
        <f t="shared" si="11"/>
        <v>建筑品质</v>
      </c>
      <c r="R35" s="1559" t="s">
        <v>11</v>
      </c>
      <c r="S35" s="1560">
        <f t="shared" si="12"/>
        <v>100</v>
      </c>
      <c r="T35" s="1559" t="s">
        <v>11</v>
      </c>
      <c r="U35" s="1560">
        <f t="shared" si="13"/>
        <v>100</v>
      </c>
      <c r="V35" s="1559" t="s">
        <v>11</v>
      </c>
      <c r="W35" s="1560">
        <f t="shared" si="14"/>
        <v>100</v>
      </c>
      <c r="X35" s="1553"/>
      <c r="Y35" s="3470"/>
      <c r="Z35" s="1561" t="str">
        <f t="shared" si="15"/>
        <v>建筑品质</v>
      </c>
      <c r="AA35" s="1562">
        <f t="shared" si="3"/>
        <v>1</v>
      </c>
      <c r="AB35" s="1562">
        <f t="shared" si="4"/>
        <v>1</v>
      </c>
      <c r="AC35" s="1562">
        <f t="shared" si="5"/>
        <v>1</v>
      </c>
    </row>
    <row r="36" spans="1:29" ht="15">
      <c r="A36" s="594"/>
      <c r="B36" s="527" t="s">
        <v>729</v>
      </c>
      <c r="C36" s="599" t="s">
        <v>3571</v>
      </c>
      <c r="D36" s="540">
        <v>100</v>
      </c>
      <c r="E36" s="599" t="s">
        <v>3571</v>
      </c>
      <c r="F36" s="575">
        <f>SUMIF(109:109,E36,110:110)-SUMIF(109:109,C36,110:110)+100</f>
        <v>100</v>
      </c>
      <c r="G36" s="599" t="s">
        <v>3571</v>
      </c>
      <c r="H36" s="540">
        <f>SUMIF(109:109,G36,110:110)-SUMIF(109:109,C36,110:110)+100</f>
        <v>100</v>
      </c>
      <c r="I36" s="599" t="s">
        <v>3571</v>
      </c>
      <c r="J36" s="540">
        <f>SUMIF(109:109,I36,110:110)-SUMIF(109:109,C36,110:110)+100</f>
        <v>100</v>
      </c>
      <c r="K36" s="864">
        <v>2</v>
      </c>
      <c r="L36" s="2126"/>
      <c r="M36" s="2118"/>
      <c r="N36" s="2118"/>
      <c r="O36" s="2125"/>
      <c r="P36" s="3470"/>
      <c r="Q36" s="1558" t="str">
        <f t="shared" si="11"/>
        <v>公共部分装修</v>
      </c>
      <c r="R36" s="1559" t="s">
        <v>11</v>
      </c>
      <c r="S36" s="1560">
        <f t="shared" si="12"/>
        <v>100</v>
      </c>
      <c r="T36" s="1559" t="s">
        <v>11</v>
      </c>
      <c r="U36" s="1560">
        <f t="shared" si="13"/>
        <v>100</v>
      </c>
      <c r="V36" s="1559" t="s">
        <v>11</v>
      </c>
      <c r="W36" s="1560">
        <f t="shared" si="14"/>
        <v>100</v>
      </c>
      <c r="X36" s="1553"/>
      <c r="Y36" s="3470"/>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70"/>
      <c r="Q37" s="1147" t="str">
        <f t="shared" si="11"/>
        <v>成新度</v>
      </c>
      <c r="R37" s="1554" t="s">
        <v>11</v>
      </c>
      <c r="S37" s="1555">
        <f t="shared" si="12"/>
        <v>100</v>
      </c>
      <c r="T37" s="1554" t="s">
        <v>11</v>
      </c>
      <c r="U37" s="1555">
        <f t="shared" si="13"/>
        <v>100</v>
      </c>
      <c r="V37" s="1554" t="s">
        <v>11</v>
      </c>
      <c r="W37" s="1555">
        <f t="shared" si="14"/>
        <v>100</v>
      </c>
      <c r="X37" s="1556"/>
      <c r="Y37" s="3470"/>
      <c r="Z37" s="1146" t="str">
        <f t="shared" si="15"/>
        <v>成新度</v>
      </c>
      <c r="AA37" s="1557">
        <f t="shared" si="3"/>
        <v>1</v>
      </c>
      <c r="AB37" s="1557">
        <f t="shared" si="4"/>
        <v>1</v>
      </c>
      <c r="AC37" s="1557">
        <f t="shared" si="5"/>
        <v>1</v>
      </c>
    </row>
    <row r="38" spans="1:29" ht="15">
      <c r="A38" s="594"/>
      <c r="B38" s="527" t="s">
        <v>731</v>
      </c>
      <c r="C38" s="599" t="s">
        <v>3573</v>
      </c>
      <c r="D38" s="540">
        <v>100</v>
      </c>
      <c r="E38" s="599" t="s">
        <v>3573</v>
      </c>
      <c r="F38" s="575">
        <f>SUMIF(114:114,E38,115:115)-SUMIF(114:114,C38,115:115)+100</f>
        <v>100</v>
      </c>
      <c r="G38" s="599" t="s">
        <v>3573</v>
      </c>
      <c r="H38" s="540">
        <f>SUMIF(114:114,G38,115:115)-SUMIF(114:114,C38,115:115)+100</f>
        <v>100</v>
      </c>
      <c r="I38" s="599" t="s">
        <v>3573</v>
      </c>
      <c r="J38" s="540">
        <f>SUMIF(114:114,I38,115:115)-SUMIF(114:114,C38,115:115)+100</f>
        <v>100</v>
      </c>
      <c r="K38" s="864">
        <v>2</v>
      </c>
      <c r="L38" s="2126"/>
      <c r="M38" s="2118"/>
      <c r="N38" s="2118"/>
      <c r="O38" s="2125"/>
      <c r="P38" s="3470" t="s">
        <v>550</v>
      </c>
      <c r="Q38" s="1558" t="str">
        <f t="shared" si="11"/>
        <v>物业管理</v>
      </c>
      <c r="R38" s="1559" t="s">
        <v>11</v>
      </c>
      <c r="S38" s="1560">
        <f t="shared" si="12"/>
        <v>100</v>
      </c>
      <c r="T38" s="1559" t="s">
        <v>11</v>
      </c>
      <c r="U38" s="1560">
        <f t="shared" si="13"/>
        <v>100</v>
      </c>
      <c r="V38" s="1559" t="s">
        <v>11</v>
      </c>
      <c r="W38" s="1560">
        <f t="shared" si="14"/>
        <v>100</v>
      </c>
      <c r="X38" s="1553"/>
      <c r="Y38" s="3470" t="s">
        <v>550</v>
      </c>
      <c r="Z38" s="1561" t="str">
        <f t="shared" si="15"/>
        <v>物业管理</v>
      </c>
      <c r="AA38" s="1562">
        <f t="shared" si="3"/>
        <v>1</v>
      </c>
      <c r="AB38" s="1562">
        <f t="shared" si="4"/>
        <v>1</v>
      </c>
      <c r="AC38" s="1562">
        <f t="shared" si="5"/>
        <v>1</v>
      </c>
    </row>
    <row r="39" spans="1:29" ht="15">
      <c r="A39" s="594"/>
      <c r="B39" s="1879" t="s">
        <v>2563</v>
      </c>
      <c r="C39" s="599" t="s">
        <v>3553</v>
      </c>
      <c r="D39" s="540">
        <v>100</v>
      </c>
      <c r="E39" s="599" t="s">
        <v>3553</v>
      </c>
      <c r="F39" s="575">
        <f>SUMIF(116:116,E39,117:117)-SUMIF(116:116,C39,117:117)+100</f>
        <v>100</v>
      </c>
      <c r="G39" s="599" t="s">
        <v>3553</v>
      </c>
      <c r="H39" s="540">
        <f>SUMIF(116:116,G39,117:117)-SUMIF(116:116,C39,117:117)+100</f>
        <v>100</v>
      </c>
      <c r="I39" s="599" t="s">
        <v>3553</v>
      </c>
      <c r="J39" s="540">
        <f>SUMIF(116:116,I39,117:117)-SUMIF(116:116,C39,117:117)+100</f>
        <v>100</v>
      </c>
      <c r="K39" s="864">
        <v>2</v>
      </c>
      <c r="L39" s="2126"/>
      <c r="M39" s="2118"/>
      <c r="N39" s="2118"/>
      <c r="O39" s="2125"/>
      <c r="P39" s="3470"/>
      <c r="Q39" s="1558" t="str">
        <f t="shared" si="11"/>
        <v>市政基础设施</v>
      </c>
      <c r="R39" s="1559" t="s">
        <v>11</v>
      </c>
      <c r="S39" s="1560">
        <f t="shared" si="12"/>
        <v>100</v>
      </c>
      <c r="T39" s="1559" t="s">
        <v>11</v>
      </c>
      <c r="U39" s="1560">
        <f t="shared" si="13"/>
        <v>100</v>
      </c>
      <c r="V39" s="1559" t="s">
        <v>11</v>
      </c>
      <c r="W39" s="1560">
        <f t="shared" si="14"/>
        <v>100</v>
      </c>
      <c r="X39" s="1553"/>
      <c r="Y39" s="3470"/>
      <c r="Z39" s="1561" t="str">
        <f t="shared" si="15"/>
        <v>市政基础设施</v>
      </c>
      <c r="AA39" s="1562">
        <f t="shared" si="3"/>
        <v>1</v>
      </c>
      <c r="AB39" s="1562">
        <f t="shared" si="4"/>
        <v>1</v>
      </c>
      <c r="AC39" s="1562">
        <f t="shared" si="5"/>
        <v>1</v>
      </c>
    </row>
    <row r="40" spans="1:29" ht="15">
      <c r="A40" s="594"/>
      <c r="B40" s="527" t="s">
        <v>732</v>
      </c>
      <c r="C40" s="599" t="s">
        <v>3576</v>
      </c>
      <c r="D40" s="540">
        <v>100</v>
      </c>
      <c r="E40" s="599" t="s">
        <v>3576</v>
      </c>
      <c r="F40" s="575">
        <f>SUMIF(118:118,E40,119:119)-SUMIF(118:118,C40,119:119)+100</f>
        <v>100</v>
      </c>
      <c r="G40" s="599" t="s">
        <v>3576</v>
      </c>
      <c r="H40" s="540">
        <f>SUMIF(118:118,G40,119:119)-SUMIF(118:118,C40,119:119)+100</f>
        <v>100</v>
      </c>
      <c r="I40" s="599" t="s">
        <v>3576</v>
      </c>
      <c r="J40" s="540">
        <f>SUMIF(118:118,I40,119:119)-SUMIF(118:118,C40,119:119)+100</f>
        <v>100</v>
      </c>
      <c r="K40" s="864">
        <v>2</v>
      </c>
      <c r="L40" s="2126"/>
      <c r="M40" s="2118"/>
      <c r="N40" s="2118"/>
      <c r="O40" s="2125"/>
      <c r="P40" s="3470"/>
      <c r="Q40" s="1558" t="str">
        <f t="shared" si="11"/>
        <v>房型</v>
      </c>
      <c r="R40" s="1559" t="s">
        <v>11</v>
      </c>
      <c r="S40" s="1560">
        <f t="shared" si="12"/>
        <v>100</v>
      </c>
      <c r="T40" s="1559" t="s">
        <v>11</v>
      </c>
      <c r="U40" s="1560">
        <f t="shared" si="13"/>
        <v>100</v>
      </c>
      <c r="V40" s="1559" t="s">
        <v>11</v>
      </c>
      <c r="W40" s="1560">
        <f t="shared" si="14"/>
        <v>100</v>
      </c>
      <c r="X40" s="1553"/>
      <c r="Y40" s="3470"/>
      <c r="Z40" s="1561" t="str">
        <f t="shared" si="15"/>
        <v>房型</v>
      </c>
      <c r="AA40" s="1562">
        <f t="shared" si="3"/>
        <v>1</v>
      </c>
      <c r="AB40" s="1562">
        <f t="shared" si="4"/>
        <v>1</v>
      </c>
      <c r="AC40" s="1562">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70"/>
      <c r="Q41" s="1590" t="str">
        <f t="shared" si="11"/>
        <v>单套/主力户型建筑面积</v>
      </c>
      <c r="R41" s="1563" t="s">
        <v>11</v>
      </c>
      <c r="S41" s="1564">
        <f t="shared" si="12"/>
        <v>100</v>
      </c>
      <c r="T41" s="1563" t="s">
        <v>11</v>
      </c>
      <c r="U41" s="1564">
        <f t="shared" si="13"/>
        <v>100</v>
      </c>
      <c r="V41" s="1563" t="s">
        <v>11</v>
      </c>
      <c r="W41" s="1564">
        <f t="shared" si="14"/>
        <v>100</v>
      </c>
      <c r="X41" s="1565"/>
      <c r="Y41" s="3470"/>
      <c r="Z41" s="1566" t="str">
        <f t="shared" si="15"/>
        <v>单套/主力户型建筑面积</v>
      </c>
      <c r="AA41" s="1562">
        <f t="shared" si="3"/>
        <v>1</v>
      </c>
      <c r="AB41" s="1562">
        <f t="shared" si="4"/>
        <v>1</v>
      </c>
      <c r="AC41" s="1562">
        <f t="shared" si="5"/>
        <v>1</v>
      </c>
    </row>
    <row r="42" spans="1:29" ht="15">
      <c r="A42" s="594"/>
      <c r="B42" s="527" t="s">
        <v>734</v>
      </c>
      <c r="C42" s="599" t="s">
        <v>3580</v>
      </c>
      <c r="D42" s="540">
        <v>100</v>
      </c>
      <c r="E42" s="874" t="s">
        <v>3580</v>
      </c>
      <c r="F42" s="575">
        <f>SUMIF(122:122,E42,123:123)-SUMIF(122:122,C42,123:123)+100</f>
        <v>100</v>
      </c>
      <c r="G42" s="599" t="s">
        <v>3580</v>
      </c>
      <c r="H42" s="540">
        <f>SUMIF(122:122,G42,123:123)-SUMIF(122:122,C42,123:123)+100</f>
        <v>100</v>
      </c>
      <c r="I42" s="874" t="s">
        <v>3580</v>
      </c>
      <c r="J42" s="540">
        <f>SUMIF(122:122,I42,123:123)-SUMIF(122:122,C42,123:123)+100</f>
        <v>100</v>
      </c>
      <c r="K42" s="864">
        <v>0</v>
      </c>
      <c r="L42" s="2126"/>
      <c r="M42" s="2118"/>
      <c r="N42" s="2118"/>
      <c r="O42" s="2125"/>
      <c r="P42" s="3470"/>
      <c r="Q42" s="1558" t="str">
        <f t="shared" si="11"/>
        <v>内部装修</v>
      </c>
      <c r="R42" s="1559" t="s">
        <v>11</v>
      </c>
      <c r="S42" s="1560">
        <f t="shared" si="12"/>
        <v>100</v>
      </c>
      <c r="T42" s="1559" t="s">
        <v>11</v>
      </c>
      <c r="U42" s="1560">
        <f t="shared" si="13"/>
        <v>100</v>
      </c>
      <c r="V42" s="1559" t="s">
        <v>11</v>
      </c>
      <c r="W42" s="1560">
        <f t="shared" si="14"/>
        <v>100</v>
      </c>
      <c r="X42" s="1553"/>
      <c r="Y42" s="3470"/>
      <c r="Z42" s="1561" t="str">
        <f t="shared" si="15"/>
        <v>内部装修</v>
      </c>
      <c r="AA42" s="1562">
        <f t="shared" si="3"/>
        <v>1</v>
      </c>
      <c r="AB42" s="1562">
        <f t="shared" si="4"/>
        <v>1</v>
      </c>
      <c r="AC42" s="1562">
        <f t="shared" si="5"/>
        <v>1</v>
      </c>
    </row>
    <row r="43" spans="1:29" ht="27">
      <c r="A43" s="594"/>
      <c r="B43" s="527" t="s">
        <v>735</v>
      </c>
      <c r="C43" s="599" t="s">
        <v>3545</v>
      </c>
      <c r="D43" s="540">
        <v>100</v>
      </c>
      <c r="E43" s="874" t="s">
        <v>3545</v>
      </c>
      <c r="F43" s="575">
        <f>SUMIF(124:124,E43,125:125)-SUMIF(124:124,C43,125:125)+100</f>
        <v>100</v>
      </c>
      <c r="G43" s="599" t="s">
        <v>3545</v>
      </c>
      <c r="H43" s="540">
        <f>SUMIF(124:124,G43,125:125)-SUMIF(124:124,C43,125:125)+100</f>
        <v>100</v>
      </c>
      <c r="I43" s="874" t="s">
        <v>3545</v>
      </c>
      <c r="J43" s="540">
        <f>SUMIF(124:124,I43,125:125)-SUMIF(124:124,C43,125:125)+100</f>
        <v>100</v>
      </c>
      <c r="K43" s="864">
        <v>2</v>
      </c>
      <c r="L43" s="2126"/>
      <c r="M43" s="2118"/>
      <c r="N43" s="2118"/>
      <c r="O43" s="2125"/>
      <c r="P43" s="3470"/>
      <c r="Q43" s="1558" t="str">
        <f t="shared" si="11"/>
        <v>内部装修维护情况</v>
      </c>
      <c r="R43" s="1559" t="s">
        <v>11</v>
      </c>
      <c r="S43" s="1560">
        <f t="shared" si="12"/>
        <v>100</v>
      </c>
      <c r="T43" s="1559" t="s">
        <v>11</v>
      </c>
      <c r="U43" s="1560">
        <f t="shared" si="13"/>
        <v>100</v>
      </c>
      <c r="V43" s="1559" t="s">
        <v>11</v>
      </c>
      <c r="W43" s="1560">
        <f t="shared" si="14"/>
        <v>100</v>
      </c>
      <c r="X43" s="1553"/>
      <c r="Y43" s="3470"/>
      <c r="Z43" s="1561" t="str">
        <f t="shared" si="15"/>
        <v>内部装修维护情况</v>
      </c>
      <c r="AA43" s="1562">
        <f t="shared" si="3"/>
        <v>1</v>
      </c>
      <c r="AB43" s="1562">
        <f t="shared" si="4"/>
        <v>1</v>
      </c>
      <c r="AC43" s="1562">
        <f t="shared" si="5"/>
        <v>1</v>
      </c>
    </row>
    <row r="44" spans="1:29" s="1216" customFormat="1" ht="15">
      <c r="A44" s="600"/>
      <c r="B44" s="3209" t="s">
        <v>3585</v>
      </c>
      <c r="C44" s="3210" t="s">
        <v>3586</v>
      </c>
      <c r="D44" s="255">
        <v>100</v>
      </c>
      <c r="E44" s="3210" t="s">
        <v>3587</v>
      </c>
      <c r="F44" s="863">
        <f>SUMIF(126:126,E44,127:127)-SUMIF(126:126,C44,127:127)+100</f>
        <v>105</v>
      </c>
      <c r="G44" s="3210" t="s">
        <v>3586</v>
      </c>
      <c r="H44" s="255">
        <f>SUMIF(126:126,G44,127:127)-SUMIF(126:126,C44,127:127)+100</f>
        <v>100</v>
      </c>
      <c r="I44" s="3210" t="s">
        <v>3587</v>
      </c>
      <c r="J44" s="255">
        <f>SUMIF(126:126,I44,127:127)-SUMIF(126:126,C44,127:127)+100</f>
        <v>105</v>
      </c>
      <c r="K44" s="865"/>
      <c r="L44" s="2119"/>
      <c r="M44" s="2120"/>
      <c r="N44" s="2120"/>
      <c r="O44" s="2121"/>
      <c r="P44" s="3470"/>
      <c r="Q44" s="1147" t="str">
        <f t="shared" si="11"/>
        <v>赠送</v>
      </c>
      <c r="R44" s="1554" t="s">
        <v>11</v>
      </c>
      <c r="S44" s="1555">
        <f t="shared" si="12"/>
        <v>105</v>
      </c>
      <c r="T44" s="1554" t="s">
        <v>11</v>
      </c>
      <c r="U44" s="1555">
        <f t="shared" si="13"/>
        <v>100</v>
      </c>
      <c r="V44" s="1554" t="s">
        <v>11</v>
      </c>
      <c r="W44" s="1555">
        <f t="shared" si="14"/>
        <v>105</v>
      </c>
      <c r="X44" s="1556"/>
      <c r="Y44" s="3470"/>
      <c r="Z44" s="1146" t="str">
        <f t="shared" si="15"/>
        <v>赠送</v>
      </c>
      <c r="AA44" s="1557">
        <f t="shared" si="3"/>
        <v>0.95238095238095233</v>
      </c>
      <c r="AB44" s="1557">
        <f t="shared" si="4"/>
        <v>1</v>
      </c>
      <c r="AC44" s="1557">
        <f t="shared" si="5"/>
        <v>0.95238095238095233</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70"/>
      <c r="Q45" s="1558">
        <f t="shared" si="11"/>
        <v>0</v>
      </c>
      <c r="R45" s="1559" t="s">
        <v>11</v>
      </c>
      <c r="S45" s="1560">
        <f t="shared" si="12"/>
        <v>100</v>
      </c>
      <c r="T45" s="1559" t="s">
        <v>11</v>
      </c>
      <c r="U45" s="1560">
        <f t="shared" si="13"/>
        <v>100</v>
      </c>
      <c r="V45" s="1559" t="s">
        <v>11</v>
      </c>
      <c r="W45" s="1560">
        <f t="shared" si="14"/>
        <v>100</v>
      </c>
      <c r="X45" s="1553"/>
      <c r="Y45" s="3470"/>
      <c r="Z45" s="1561">
        <f t="shared" si="15"/>
        <v>0</v>
      </c>
      <c r="AA45" s="1562">
        <f t="shared" si="3"/>
        <v>1</v>
      </c>
      <c r="AB45" s="1562">
        <f t="shared" si="4"/>
        <v>1</v>
      </c>
      <c r="AC45" s="1562">
        <f t="shared" si="5"/>
        <v>1</v>
      </c>
    </row>
    <row r="46" spans="1:29" ht="71.25" thickBot="1">
      <c r="A46" s="886"/>
      <c r="B46" s="544"/>
      <c r="C46" s="545"/>
      <c r="D46" s="546">
        <v>100</v>
      </c>
      <c r="E46" s="545" t="s">
        <v>3588</v>
      </c>
      <c r="F46" s="866">
        <f>SUMIF(130:130,E46,131:131)-SUMIF(130:130,C46,131:131)+100</f>
        <v>100</v>
      </c>
      <c r="G46" s="545" t="s">
        <v>3594</v>
      </c>
      <c r="H46" s="546">
        <f>SUMIF(130:130,G46,131:131)-SUMIF(130:130,C46,131:131)+100</f>
        <v>100</v>
      </c>
      <c r="I46" s="545" t="s">
        <v>3584</v>
      </c>
      <c r="J46" s="546">
        <f>SUMIF(130:130,I46,131:131)-SUMIF(130:130,C46,131:131)+100</f>
        <v>100</v>
      </c>
      <c r="K46" s="865"/>
      <c r="L46" s="2126"/>
      <c r="M46" s="2118"/>
      <c r="N46" s="2118"/>
      <c r="O46" s="2125"/>
      <c r="P46" s="3551"/>
      <c r="Q46" s="1558">
        <f t="shared" si="11"/>
        <v>0</v>
      </c>
      <c r="R46" s="1559" t="s">
        <v>10</v>
      </c>
      <c r="S46" s="1560">
        <f t="shared" si="12"/>
        <v>100</v>
      </c>
      <c r="T46" s="1559" t="s">
        <v>10</v>
      </c>
      <c r="U46" s="1560">
        <f t="shared" si="13"/>
        <v>100</v>
      </c>
      <c r="V46" s="1559" t="s">
        <v>10</v>
      </c>
      <c r="W46" s="1560">
        <f t="shared" si="14"/>
        <v>100</v>
      </c>
      <c r="X46" s="1553"/>
      <c r="Y46" s="3551"/>
      <c r="Z46" s="1561">
        <f t="shared" si="15"/>
        <v>0</v>
      </c>
      <c r="AA46" s="1562">
        <f t="shared" si="3"/>
        <v>1</v>
      </c>
      <c r="AB46" s="1562">
        <f t="shared" si="4"/>
        <v>1</v>
      </c>
      <c r="AC46" s="1562">
        <f t="shared" si="5"/>
        <v>1</v>
      </c>
    </row>
    <row r="47" spans="1:29" ht="15">
      <c r="A47" s="607" t="s">
        <v>736</v>
      </c>
      <c r="B47" s="887"/>
      <c r="C47" s="2590" t="s">
        <v>9</v>
      </c>
      <c r="D47" s="2591"/>
      <c r="E47" s="2592">
        <f>ROUND((14000-2000)*$F$50,0)</f>
        <v>11640</v>
      </c>
      <c r="F47" s="2593"/>
      <c r="G47" s="2592">
        <f>ROUND((11000-1000)*$F$50,0)</f>
        <v>9700</v>
      </c>
      <c r="H47" s="2595"/>
      <c r="I47" s="2592">
        <f>ROUND((13000-2000)*$F$50,0)</f>
        <v>10670</v>
      </c>
      <c r="J47" s="2595"/>
      <c r="K47" s="1591"/>
      <c r="L47" s="2128"/>
      <c r="M47" s="2129"/>
      <c r="N47" s="2118"/>
      <c r="O47" s="2129"/>
      <c r="P47" s="3433" t="str">
        <f>A47</f>
        <v>成交单价（元/平方米）</v>
      </c>
      <c r="Q47" s="3433"/>
      <c r="R47" s="3550">
        <f>E47</f>
        <v>11640</v>
      </c>
      <c r="S47" s="3550"/>
      <c r="T47" s="3550">
        <f>G47</f>
        <v>9700</v>
      </c>
      <c r="U47" s="3550"/>
      <c r="V47" s="3550">
        <f>I47</f>
        <v>10670</v>
      </c>
      <c r="W47" s="3550"/>
      <c r="X47" s="1545"/>
      <c r="Y47" s="1567"/>
      <c r="Z47" s="1545"/>
      <c r="AA47" s="1545"/>
      <c r="AB47" s="1545"/>
      <c r="AC47" s="1545"/>
    </row>
    <row r="48" spans="1:29" ht="15.75" thickBot="1">
      <c r="A48" s="615" t="s">
        <v>2758</v>
      </c>
      <c r="B48" s="888"/>
      <c r="C48" s="2596">
        <f>R49</f>
        <v>8977</v>
      </c>
      <c r="D48" s="2597"/>
      <c r="E48" s="2598">
        <f>R48</f>
        <v>9441</v>
      </c>
      <c r="F48" s="2598"/>
      <c r="G48" s="2596">
        <f>T48</f>
        <v>8542</v>
      </c>
      <c r="H48" s="2597"/>
      <c r="I48" s="2598">
        <f>V48</f>
        <v>8949</v>
      </c>
      <c r="J48" s="2597"/>
      <c r="K48" s="1592"/>
      <c r="L48" s="2128"/>
      <c r="M48" s="2129"/>
      <c r="N48" s="2129"/>
      <c r="O48" s="2129"/>
      <c r="P48" s="3433" t="str">
        <f>A48</f>
        <v>比较价格（元/平方米）</v>
      </c>
      <c r="Q48" s="3433"/>
      <c r="R48" s="3550">
        <f>IF(F1="售价",ROUND(PRODUCT(R47,AA7:AA46),0),ROUND(PRODUCT(R47,AA7:AA46),1))</f>
        <v>9441</v>
      </c>
      <c r="S48" s="3550"/>
      <c r="T48" s="3550">
        <f>IF(F1="售价",ROUND(PRODUCT(T47,AB7:AB46),0),ROUND(PRODUCT(T47,AB7:AB46),1))</f>
        <v>8542</v>
      </c>
      <c r="U48" s="3550"/>
      <c r="V48" s="3550">
        <f>IF(F1="售价",ROUND(PRODUCT(V47,AC7:AC46),0),ROUND(PRODUCT(V47,AC7:AC46),1))</f>
        <v>8949</v>
      </c>
      <c r="W48" s="3550"/>
      <c r="X48" s="1545"/>
      <c r="Y48" s="1545"/>
      <c r="Z48" s="1545"/>
      <c r="AA48" s="1545"/>
      <c r="AB48" s="1545"/>
      <c r="AC48" s="1545"/>
    </row>
    <row r="49" spans="1:29" ht="15.75" thickBot="1">
      <c r="A49" s="621" t="s">
        <v>2934</v>
      </c>
      <c r="B49" s="622"/>
      <c r="C49" s="2599">
        <f>R49</f>
        <v>8977</v>
      </c>
      <c r="D49" s="2599"/>
      <c r="E49" s="2599"/>
      <c r="F49" s="2599"/>
      <c r="G49" s="2599"/>
      <c r="H49" s="2599"/>
      <c r="I49" s="2599"/>
      <c r="J49" s="2599"/>
      <c r="K49" s="1593"/>
      <c r="L49" s="2128"/>
      <c r="M49" s="2129"/>
      <c r="N49" s="2129"/>
      <c r="O49" s="2129"/>
      <c r="P49" s="3430" t="str">
        <f>A49</f>
        <v>估价对象XX用房的比较价格（楼面单价，元/平方米）</v>
      </c>
      <c r="Q49" s="3431"/>
      <c r="R49" s="3549">
        <f>IF(F1="售价",ROUND(AVERAGE(R48:V48),0),ROUND(AVERAGE(R48:V48),1))</f>
        <v>8977</v>
      </c>
      <c r="S49" s="3549"/>
      <c r="T49" s="3549"/>
      <c r="U49" s="3549"/>
      <c r="V49" s="3549"/>
      <c r="W49" s="3549"/>
      <c r="X49" s="1545"/>
      <c r="Y49" s="1545"/>
      <c r="Z49" s="1545"/>
      <c r="AA49" s="1545"/>
      <c r="AB49" s="1545"/>
      <c r="AC49" s="1545"/>
    </row>
    <row r="50" spans="1:29">
      <c r="A50" s="2129"/>
      <c r="B50" s="2129"/>
      <c r="C50" s="2129"/>
      <c r="D50" s="2129"/>
      <c r="E50" s="3232" t="s">
        <v>3613</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0.23292024149984103</v>
      </c>
      <c r="F52" s="627" t="str">
        <f>IF(OR(E52&gt;=0.3,E52&lt;=-0.3),"超过30%","")</f>
        <v/>
      </c>
      <c r="G52" s="626">
        <f>IF(G47&lt;G48,G48/G47-1,G47/G48-1)</f>
        <v>0.13556544134863024</v>
      </c>
      <c r="H52" s="627" t="str">
        <f>IF(OR(G52&gt;=0.3,G52&lt;=-0.3),"超过30%","")</f>
        <v/>
      </c>
      <c r="I52" s="626">
        <f>IF(I47&lt;I48,I48/I47-1,I47/I48-1)</f>
        <v>0.19231199016649914</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0.10524467337859988</v>
      </c>
      <c r="F53" s="627" t="str">
        <f>IF(OR(E53&gt;=0.2,E53&lt;=-0.2),"超过20%","")</f>
        <v/>
      </c>
      <c r="G53" s="626">
        <f>IF(G48&lt;I48,I48/G48-1,G48/I48-1)</f>
        <v>4.7646921095762185E-2</v>
      </c>
      <c r="H53" s="627" t="str">
        <f>IF(OR(G53&gt;=0.2,G53&lt;=-0.2),"超过20%","")</f>
        <v/>
      </c>
      <c r="I53" s="626">
        <f>IF(I48&lt;E48,E48/I48-1,I48/E48-1)</f>
        <v>5.497820985584978E-2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0.19999999999999996</v>
      </c>
      <c r="F54" s="627" t="str">
        <f>IF(OR(E54&gt;=0.3,E54&lt;=-0.3),"超过30%","")</f>
        <v/>
      </c>
      <c r="G54" s="626">
        <f>IF(G47&lt;I47,I47/G47-1,G47/I47-1)</f>
        <v>0.10000000000000009</v>
      </c>
      <c r="H54" s="627" t="str">
        <f>IF(OR(G54&gt;=0.3,G54&lt;=-0.3),"超过30%","")</f>
        <v/>
      </c>
      <c r="I54" s="626">
        <f>IF(I47&lt;E47,E47/I47-1,I47/E47-1)</f>
        <v>9.0909090909090828E-2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v>100</v>
      </c>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29.25" thickTop="1">
      <c r="A67" s="669"/>
      <c r="B67" s="681" t="s">
        <v>538</v>
      </c>
      <c r="C67" s="682" t="str">
        <f>C68&amp;"（含）"&amp;"-"&amp;D68</f>
        <v>1（含）-1.5</v>
      </c>
      <c r="D67" s="682" t="str">
        <f t="shared" ref="D67:L67" si="18">D68&amp;"（含）"&amp;"-"&amp;E68</f>
        <v>1.5（含）-2</v>
      </c>
      <c r="E67" s="682" t="str">
        <f t="shared" si="18"/>
        <v>2（含）-2.5</v>
      </c>
      <c r="F67" s="682" t="str">
        <f t="shared" si="18"/>
        <v>2.5（含）-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1</v>
      </c>
      <c r="D68" s="541">
        <v>1.5</v>
      </c>
      <c r="E68" s="541">
        <v>2</v>
      </c>
      <c r="F68" s="541">
        <v>2.5</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hidden="1"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hidden="1"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hidden="1"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hidden="1"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hidden="1"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hidden="1"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95</v>
      </c>
      <c r="E77" s="679">
        <f>D77-$K15</f>
        <v>90</v>
      </c>
      <c r="F77" s="679">
        <f>E77-$K15</f>
        <v>85</v>
      </c>
      <c r="G77" s="679">
        <f>F77-$K15</f>
        <v>80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95</v>
      </c>
      <c r="E81" s="679">
        <f>D81-$K19</f>
        <v>90</v>
      </c>
      <c r="F81" s="679">
        <f>E81-$K19</f>
        <v>85</v>
      </c>
      <c r="G81" s="679">
        <f>F81-$K19</f>
        <v>80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97</v>
      </c>
      <c r="E83" s="679">
        <f>D83-$K21</f>
        <v>94</v>
      </c>
      <c r="F83" s="679">
        <f>E83-$K21</f>
        <v>91</v>
      </c>
      <c r="G83" s="679">
        <f>F83-$K21</f>
        <v>88</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hidden="1"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hidden="1"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hidden="1"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hidden="1"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hidden="1"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hidden="1"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hidden="1"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hidden="1"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hidden="1"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hidden="1"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hidden="1"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hidden="1"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5" thickTop="1">
      <c r="A100" s="664" t="s">
        <v>551</v>
      </c>
      <c r="B100" s="665" t="s">
        <v>747</v>
      </c>
      <c r="C100" s="3208" t="s">
        <v>3565</v>
      </c>
      <c r="D100" s="3208" t="s">
        <v>3566</v>
      </c>
      <c r="E100" s="3208" t="s">
        <v>3567</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0" t="s">
        <v>3568</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1" t="s">
        <v>3570</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0" t="s">
        <v>3572</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29.2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0" t="s">
        <v>3574</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2555</v>
      </c>
      <c r="C116" s="3200" t="s">
        <v>3575</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201" t="s">
        <v>3577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0" t="s">
        <v>3578</v>
      </c>
      <c r="D122" s="3200" t="s">
        <v>3579</v>
      </c>
      <c r="E122" s="3200" t="s">
        <v>3581</v>
      </c>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t="str">
        <f>B44</f>
        <v>赠送</v>
      </c>
      <c r="C126" s="3200" t="s">
        <v>3586</v>
      </c>
      <c r="D126" s="3200" t="s">
        <v>3587</v>
      </c>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v>100</v>
      </c>
      <c r="D127" s="671">
        <v>105</v>
      </c>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hidden="1"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hidden="1"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hidden="1"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hidden="1"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ht="15" thickTop="1">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521</v>
      </c>
      <c r="B4" s="513"/>
      <c r="C4" s="3439" t="s">
        <v>522</v>
      </c>
      <c r="D4" s="3440"/>
      <c r="E4" s="3473" t="s">
        <v>523</v>
      </c>
      <c r="F4" s="3474"/>
      <c r="G4" s="3439" t="s">
        <v>524</v>
      </c>
      <c r="H4" s="3440"/>
      <c r="I4" s="3439" t="s">
        <v>525</v>
      </c>
      <c r="J4" s="3440"/>
      <c r="K4" s="514" t="s">
        <v>526</v>
      </c>
      <c r="L4" s="2117"/>
      <c r="M4" s="2118"/>
      <c r="N4" s="2118"/>
      <c r="O4" s="2118"/>
      <c r="P4" s="3441" t="s">
        <v>527</v>
      </c>
      <c r="Q4" s="3442"/>
      <c r="R4" s="3447" t="s">
        <v>523</v>
      </c>
      <c r="S4" s="3448"/>
      <c r="T4" s="3447" t="s">
        <v>524</v>
      </c>
      <c r="U4" s="3448"/>
      <c r="V4" s="3434" t="s">
        <v>525</v>
      </c>
      <c r="W4" s="3434"/>
      <c r="X4" s="1553"/>
      <c r="Y4" s="3447" t="s">
        <v>527</v>
      </c>
      <c r="Z4" s="3448"/>
      <c r="AA4" s="3436" t="s">
        <v>523</v>
      </c>
      <c r="AB4" s="3434" t="s">
        <v>524</v>
      </c>
      <c r="AC4" s="3436" t="s">
        <v>525</v>
      </c>
    </row>
    <row r="5" spans="1:29" ht="15">
      <c r="A5" s="515"/>
      <c r="B5" s="516"/>
      <c r="C5" s="3455" t="s">
        <v>2928</v>
      </c>
      <c r="D5" s="3456"/>
      <c r="E5" s="3475" t="s">
        <v>2929</v>
      </c>
      <c r="F5" s="3476"/>
      <c r="G5" s="3455" t="s">
        <v>2930</v>
      </c>
      <c r="H5" s="3456"/>
      <c r="I5" s="3455" t="s">
        <v>2931</v>
      </c>
      <c r="J5" s="3456"/>
      <c r="K5" s="514"/>
      <c r="L5" s="2117"/>
      <c r="M5" s="2118"/>
      <c r="N5" s="2118"/>
      <c r="O5" s="2118"/>
      <c r="P5" s="3443"/>
      <c r="Q5" s="3444"/>
      <c r="R5" s="3449"/>
      <c r="S5" s="3450"/>
      <c r="T5" s="3449"/>
      <c r="U5" s="3450"/>
      <c r="V5" s="3434"/>
      <c r="W5" s="3434"/>
      <c r="X5" s="1553"/>
      <c r="Y5" s="3449"/>
      <c r="Z5" s="3450"/>
      <c r="AA5" s="3437"/>
      <c r="AB5" s="3434"/>
      <c r="AC5" s="3437"/>
    </row>
    <row r="6" spans="1:29" ht="15.75" thickBot="1">
      <c r="A6" s="517"/>
      <c r="B6" s="518"/>
      <c r="C6" s="3453" t="s">
        <v>2932</v>
      </c>
      <c r="D6" s="3454"/>
      <c r="E6" s="3471" t="s">
        <v>2932</v>
      </c>
      <c r="F6" s="3472"/>
      <c r="G6" s="3453" t="s">
        <v>2932</v>
      </c>
      <c r="H6" s="3454"/>
      <c r="I6" s="3453" t="s">
        <v>2932</v>
      </c>
      <c r="J6" s="3454"/>
      <c r="K6" s="514" t="s">
        <v>528</v>
      </c>
      <c r="L6" s="2117"/>
      <c r="M6" s="2118"/>
      <c r="N6" s="2118"/>
      <c r="O6" s="2118"/>
      <c r="P6" s="3445"/>
      <c r="Q6" s="3446"/>
      <c r="R6" s="3449"/>
      <c r="S6" s="3450"/>
      <c r="T6" s="3451"/>
      <c r="U6" s="3452"/>
      <c r="V6" s="3434"/>
      <c r="W6" s="3434"/>
      <c r="X6" s="1553"/>
      <c r="Y6" s="3451"/>
      <c r="Z6" s="3452"/>
      <c r="AA6" s="3438"/>
      <c r="AB6" s="3434"/>
      <c r="AC6" s="3438"/>
    </row>
    <row r="7" spans="1:29" s="1216" customFormat="1" ht="15.75" thickBot="1">
      <c r="A7" s="2866"/>
      <c r="B7" s="2873" t="s">
        <v>529</v>
      </c>
      <c r="C7" s="519">
        <f>'数据-取费表'!B2</f>
        <v>43565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64" t="s">
        <v>530</v>
      </c>
      <c r="Q7" s="3466"/>
      <c r="R7" s="1554" t="s">
        <v>8</v>
      </c>
      <c r="S7" s="1555">
        <f t="shared" ref="S7:S15" si="0">F7</f>
        <v>0</v>
      </c>
      <c r="T7" s="1554" t="s">
        <v>8</v>
      </c>
      <c r="U7" s="1555">
        <f t="shared" ref="U7:U15" si="1">H7</f>
        <v>0</v>
      </c>
      <c r="V7" s="1554" t="s">
        <v>8</v>
      </c>
      <c r="W7" s="1555">
        <f t="shared" ref="W7:W15" si="2">J7</f>
        <v>0</v>
      </c>
      <c r="X7" s="1556"/>
      <c r="Y7" s="3464" t="s">
        <v>530</v>
      </c>
      <c r="Z7" s="3465"/>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64" t="s">
        <v>533</v>
      </c>
      <c r="Q8" s="3465"/>
      <c r="R8" s="1554" t="s">
        <v>8</v>
      </c>
      <c r="S8" s="1555">
        <f t="shared" si="0"/>
        <v>0</v>
      </c>
      <c r="T8" s="1554" t="s">
        <v>8</v>
      </c>
      <c r="U8" s="1555">
        <f t="shared" si="1"/>
        <v>0</v>
      </c>
      <c r="V8" s="1554" t="s">
        <v>8</v>
      </c>
      <c r="W8" s="1555">
        <f t="shared" si="2"/>
        <v>0</v>
      </c>
      <c r="X8" s="1556"/>
      <c r="Y8" s="3464" t="s">
        <v>533</v>
      </c>
      <c r="Z8" s="3465"/>
      <c r="AA8" s="1557" t="e">
        <f t="shared" ref="AA8:AA46" si="3">D8/F8</f>
        <v>#DIV/0!</v>
      </c>
      <c r="AB8" s="1557" t="e">
        <f t="shared" ref="AB8:AB46" si="4">D8/H8</f>
        <v>#DIV/0!</v>
      </c>
      <c r="AC8" s="1557"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33" t="s">
        <v>535</v>
      </c>
      <c r="Q9" s="1147" t="str">
        <f t="shared" ref="Q9:Q15" si="6">B9</f>
        <v>用途</v>
      </c>
      <c r="R9" s="1554" t="s">
        <v>8</v>
      </c>
      <c r="S9" s="1555">
        <f t="shared" si="0"/>
        <v>100</v>
      </c>
      <c r="T9" s="1554" t="s">
        <v>8</v>
      </c>
      <c r="U9" s="1555">
        <f t="shared" si="1"/>
        <v>100</v>
      </c>
      <c r="V9" s="1554" t="s">
        <v>8</v>
      </c>
      <c r="W9" s="1555">
        <f t="shared" si="2"/>
        <v>100</v>
      </c>
      <c r="X9" s="1556"/>
      <c r="Y9" s="3379"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33"/>
      <c r="Q11" s="1147" t="str">
        <f t="shared" si="6"/>
        <v>容积率</v>
      </c>
      <c r="R11" s="1554" t="s">
        <v>8</v>
      </c>
      <c r="S11" s="1555" t="e">
        <f t="shared" si="0"/>
        <v>#N/A</v>
      </c>
      <c r="T11" s="1554" t="s">
        <v>8</v>
      </c>
      <c r="U11" s="1555" t="e">
        <f t="shared" si="1"/>
        <v>#N/A</v>
      </c>
      <c r="V11" s="1554" t="s">
        <v>8</v>
      </c>
      <c r="W11" s="1555" t="e">
        <f t="shared" si="2"/>
        <v>#N/A</v>
      </c>
      <c r="X11" s="1556"/>
      <c r="Y11" s="337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33"/>
      <c r="Q12" s="1147">
        <f t="shared" si="6"/>
        <v>111</v>
      </c>
      <c r="R12" s="1554" t="s">
        <v>8</v>
      </c>
      <c r="S12" s="1555">
        <f t="shared" si="0"/>
        <v>100</v>
      </c>
      <c r="T12" s="1554" t="s">
        <v>8</v>
      </c>
      <c r="U12" s="1555">
        <f t="shared" si="1"/>
        <v>100</v>
      </c>
      <c r="V12" s="1554" t="s">
        <v>8</v>
      </c>
      <c r="W12" s="1555">
        <f t="shared" si="2"/>
        <v>100</v>
      </c>
      <c r="X12" s="1556"/>
      <c r="Y12" s="3379"/>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33"/>
      <c r="Q13" s="1147">
        <f t="shared" si="6"/>
        <v>111</v>
      </c>
      <c r="R13" s="1554" t="s">
        <v>8</v>
      </c>
      <c r="S13" s="1555">
        <f t="shared" si="0"/>
        <v>100</v>
      </c>
      <c r="T13" s="1554" t="s">
        <v>8</v>
      </c>
      <c r="U13" s="1555">
        <f t="shared" si="1"/>
        <v>100</v>
      </c>
      <c r="V13" s="1554" t="s">
        <v>8</v>
      </c>
      <c r="W13" s="1555">
        <f t="shared" si="2"/>
        <v>100</v>
      </c>
      <c r="X13" s="1556"/>
      <c r="Y13" s="3379"/>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33"/>
      <c r="Q14" s="1147">
        <f t="shared" si="6"/>
        <v>111</v>
      </c>
      <c r="R14" s="1554" t="s">
        <v>8</v>
      </c>
      <c r="S14" s="1555">
        <f t="shared" si="0"/>
        <v>100</v>
      </c>
      <c r="T14" s="1554" t="s">
        <v>8</v>
      </c>
      <c r="U14" s="1555">
        <f t="shared" si="1"/>
        <v>100</v>
      </c>
      <c r="V14" s="1554" t="s">
        <v>8</v>
      </c>
      <c r="W14" s="1555">
        <f t="shared" si="2"/>
        <v>100</v>
      </c>
      <c r="X14" s="1556"/>
      <c r="Y14" s="3379"/>
      <c r="Z14" s="1146">
        <f t="shared" si="7"/>
        <v>111</v>
      </c>
      <c r="AA14" s="1557">
        <f t="shared" si="3"/>
        <v>1</v>
      </c>
      <c r="AB14" s="1557">
        <f t="shared" si="4"/>
        <v>1</v>
      </c>
      <c r="AC14" s="1557">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67" t="s">
        <v>540</v>
      </c>
      <c r="Q15" s="1558" t="str">
        <f t="shared" si="6"/>
        <v>商业繁华度</v>
      </c>
      <c r="R15" s="1559" t="s">
        <v>8</v>
      </c>
      <c r="S15" s="1560">
        <f t="shared" si="0"/>
        <v>100</v>
      </c>
      <c r="T15" s="1559" t="s">
        <v>8</v>
      </c>
      <c r="U15" s="1560">
        <f t="shared" si="1"/>
        <v>100</v>
      </c>
      <c r="V15" s="1559" t="s">
        <v>8</v>
      </c>
      <c r="W15" s="1560">
        <f t="shared" si="2"/>
        <v>100</v>
      </c>
      <c r="X15" s="1553"/>
      <c r="Y15" s="346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68"/>
      <c r="Q16" s="1558"/>
      <c r="R16" s="1559"/>
      <c r="S16" s="1560"/>
      <c r="T16" s="1559"/>
      <c r="U16" s="1560"/>
      <c r="V16" s="1559"/>
      <c r="W16" s="1560"/>
      <c r="X16" s="1553"/>
      <c r="Y16" s="346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68"/>
      <c r="Q17" s="1558" t="str">
        <f>B17</f>
        <v>交通便捷度</v>
      </c>
      <c r="R17" s="1559" t="s">
        <v>8</v>
      </c>
      <c r="S17" s="1560">
        <f>F17</f>
        <v>100</v>
      </c>
      <c r="T17" s="1559" t="s">
        <v>8</v>
      </c>
      <c r="U17" s="1560">
        <f>H17</f>
        <v>100</v>
      </c>
      <c r="V17" s="1559" t="s">
        <v>8</v>
      </c>
      <c r="W17" s="1560">
        <f>J17</f>
        <v>100</v>
      </c>
      <c r="X17" s="1553"/>
      <c r="Y17" s="346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68"/>
      <c r="Q18" s="1558"/>
      <c r="R18" s="1559"/>
      <c r="S18" s="1560"/>
      <c r="T18" s="1559"/>
      <c r="U18" s="1560"/>
      <c r="V18" s="1559"/>
      <c r="W18" s="1560"/>
      <c r="X18" s="1553"/>
      <c r="Y18" s="3468"/>
      <c r="Z18" s="1561"/>
      <c r="AA18" s="1562">
        <v>1</v>
      </c>
      <c r="AB18" s="1562">
        <v>1</v>
      </c>
      <c r="AC18" s="1562">
        <v>1</v>
      </c>
    </row>
    <row r="19" spans="1:29" ht="42.75">
      <c r="A19" s="532"/>
      <c r="B19" s="2563"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68"/>
      <c r="Q19" s="1558" t="str">
        <f>B19</f>
        <v>公共配套设施</v>
      </c>
      <c r="R19" s="1559" t="s">
        <v>8</v>
      </c>
      <c r="S19" s="1560">
        <f>F19</f>
        <v>100</v>
      </c>
      <c r="T19" s="1559" t="s">
        <v>8</v>
      </c>
      <c r="U19" s="1560">
        <f>H19</f>
        <v>100</v>
      </c>
      <c r="V19" s="1559" t="s">
        <v>8</v>
      </c>
      <c r="W19" s="1560">
        <f>J19</f>
        <v>100</v>
      </c>
      <c r="X19" s="1553"/>
      <c r="Y19" s="346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68"/>
      <c r="Q20" s="1558"/>
      <c r="R20" s="1559"/>
      <c r="S20" s="1560"/>
      <c r="T20" s="1559"/>
      <c r="U20" s="1560"/>
      <c r="V20" s="1559"/>
      <c r="W20" s="1560"/>
      <c r="X20" s="1553"/>
      <c r="Y20" s="3468"/>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68"/>
      <c r="Q21" s="2542" t="str">
        <f>B21</f>
        <v>基础设施水平</v>
      </c>
      <c r="R21" s="1559" t="s">
        <v>8</v>
      </c>
      <c r="S21" s="1560">
        <f>F21</f>
        <v>100</v>
      </c>
      <c r="T21" s="1559" t="s">
        <v>8</v>
      </c>
      <c r="U21" s="1560">
        <f>H21</f>
        <v>100</v>
      </c>
      <c r="V21" s="1559" t="s">
        <v>8</v>
      </c>
      <c r="W21" s="1560">
        <f>J21</f>
        <v>100</v>
      </c>
      <c r="X21" s="2544"/>
      <c r="Y21" s="3468"/>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68"/>
      <c r="Q22" s="2542"/>
      <c r="R22" s="1559"/>
      <c r="S22" s="1560"/>
      <c r="T22" s="1559"/>
      <c r="U22" s="1560"/>
      <c r="V22" s="1559"/>
      <c r="W22" s="1560"/>
      <c r="X22" s="2544"/>
      <c r="Y22" s="3468"/>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68"/>
      <c r="Q23" s="1558" t="str">
        <f>B23</f>
        <v>自然及人文环境</v>
      </c>
      <c r="R23" s="1559" t="s">
        <v>8</v>
      </c>
      <c r="S23" s="1560">
        <f>F23</f>
        <v>100</v>
      </c>
      <c r="T23" s="1559" t="s">
        <v>8</v>
      </c>
      <c r="U23" s="1560">
        <f>H23</f>
        <v>100</v>
      </c>
      <c r="V23" s="1559" t="s">
        <v>8</v>
      </c>
      <c r="W23" s="1560">
        <f>J23</f>
        <v>100</v>
      </c>
      <c r="X23" s="1553"/>
      <c r="Y23" s="346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68"/>
      <c r="Q24" s="1558"/>
      <c r="R24" s="1559"/>
      <c r="S24" s="1560"/>
      <c r="T24" s="1559"/>
      <c r="U24" s="1560"/>
      <c r="V24" s="1559"/>
      <c r="W24" s="1560"/>
      <c r="X24" s="1553"/>
      <c r="Y24" s="346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68"/>
      <c r="Q25" s="1558" t="str">
        <f t="shared" ref="Q25:Q46" si="11">B25</f>
        <v>临街状况</v>
      </c>
      <c r="R25" s="1559" t="s">
        <v>8</v>
      </c>
      <c r="S25" s="1560">
        <f>F25</f>
        <v>100</v>
      </c>
      <c r="T25" s="1559" t="s">
        <v>8</v>
      </c>
      <c r="U25" s="1560">
        <f>H25</f>
        <v>100</v>
      </c>
      <c r="V25" s="1559" t="s">
        <v>8</v>
      </c>
      <c r="W25" s="1560">
        <f>J25</f>
        <v>100</v>
      </c>
      <c r="X25" s="1553"/>
      <c r="Y25" s="346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68"/>
      <c r="Q26" s="1558" t="str">
        <f t="shared" si="11"/>
        <v>平面位置/可视性</v>
      </c>
      <c r="R26" s="1559" t="s">
        <v>8</v>
      </c>
      <c r="S26" s="1560">
        <f>F26</f>
        <v>100</v>
      </c>
      <c r="T26" s="1559" t="s">
        <v>8</v>
      </c>
      <c r="U26" s="1560">
        <f>H26</f>
        <v>100</v>
      </c>
      <c r="V26" s="1559" t="s">
        <v>8</v>
      </c>
      <c r="W26" s="1560">
        <f>J26</f>
        <v>100</v>
      </c>
      <c r="X26" s="1553"/>
      <c r="Y26" s="3468"/>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68"/>
      <c r="Q27" s="1147" t="str">
        <f t="shared" si="11"/>
        <v>人流量</v>
      </c>
      <c r="R27" s="1554" t="s">
        <v>8</v>
      </c>
      <c r="S27" s="1555">
        <f>F27</f>
        <v>100</v>
      </c>
      <c r="T27" s="1554" t="s">
        <v>8</v>
      </c>
      <c r="U27" s="1555">
        <f>H27</f>
        <v>100</v>
      </c>
      <c r="V27" s="1554" t="s">
        <v>8</v>
      </c>
      <c r="W27" s="1555">
        <f>J27</f>
        <v>100</v>
      </c>
      <c r="X27" s="1556"/>
      <c r="Y27" s="3468"/>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6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6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68"/>
      <c r="Q29" s="1558">
        <f t="shared" si="11"/>
        <v>111</v>
      </c>
      <c r="R29" s="1559" t="s">
        <v>8</v>
      </c>
      <c r="S29" s="1560">
        <f t="shared" si="12"/>
        <v>100</v>
      </c>
      <c r="T29" s="1559" t="s">
        <v>8</v>
      </c>
      <c r="U29" s="1560">
        <f t="shared" si="13"/>
        <v>100</v>
      </c>
      <c r="V29" s="1559" t="s">
        <v>8</v>
      </c>
      <c r="W29" s="1560">
        <f t="shared" si="14"/>
        <v>100</v>
      </c>
      <c r="X29" s="1553"/>
      <c r="Y29" s="346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68"/>
      <c r="Q30" s="1558">
        <f t="shared" si="11"/>
        <v>111</v>
      </c>
      <c r="R30" s="1559" t="s">
        <v>8</v>
      </c>
      <c r="S30" s="1560">
        <f t="shared" si="12"/>
        <v>100</v>
      </c>
      <c r="T30" s="1559" t="s">
        <v>8</v>
      </c>
      <c r="U30" s="1560">
        <f t="shared" si="13"/>
        <v>100</v>
      </c>
      <c r="V30" s="1559" t="s">
        <v>8</v>
      </c>
      <c r="W30" s="1560">
        <f t="shared" si="14"/>
        <v>100</v>
      </c>
      <c r="X30" s="1553"/>
      <c r="Y30" s="346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68"/>
      <c r="Q31" s="1558">
        <f t="shared" si="11"/>
        <v>111</v>
      </c>
      <c r="R31" s="1559" t="s">
        <v>8</v>
      </c>
      <c r="S31" s="1560">
        <f t="shared" si="12"/>
        <v>100</v>
      </c>
      <c r="T31" s="1559" t="s">
        <v>8</v>
      </c>
      <c r="U31" s="1560">
        <f t="shared" si="13"/>
        <v>100</v>
      </c>
      <c r="V31" s="1559" t="s">
        <v>8</v>
      </c>
      <c r="W31" s="1560">
        <f t="shared" si="14"/>
        <v>100</v>
      </c>
      <c r="X31" s="1553"/>
      <c r="Y31" s="3468"/>
      <c r="Z31" s="1561">
        <f t="shared" si="15"/>
        <v>111</v>
      </c>
      <c r="AA31" s="1562">
        <f t="shared" si="3"/>
        <v>1</v>
      </c>
      <c r="AB31" s="1562">
        <f t="shared" si="4"/>
        <v>1</v>
      </c>
      <c r="AC31" s="1562">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69" t="s">
        <v>550</v>
      </c>
      <c r="Q32" s="1558" t="str">
        <f t="shared" si="11"/>
        <v>商业类型</v>
      </c>
      <c r="R32" s="1559" t="s">
        <v>8</v>
      </c>
      <c r="S32" s="1560">
        <f t="shared" si="12"/>
        <v>100</v>
      </c>
      <c r="T32" s="1559" t="s">
        <v>8</v>
      </c>
      <c r="U32" s="1560">
        <f t="shared" si="13"/>
        <v>100</v>
      </c>
      <c r="V32" s="1559" t="s">
        <v>8</v>
      </c>
      <c r="W32" s="1560">
        <f t="shared" si="14"/>
        <v>100</v>
      </c>
      <c r="X32" s="1553"/>
      <c r="Y32" s="3470"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70"/>
      <c r="Q33" s="1590" t="str">
        <f t="shared" si="11"/>
        <v>项目建筑规模</v>
      </c>
      <c r="R33" s="1563" t="s">
        <v>8</v>
      </c>
      <c r="S33" s="1564" t="e">
        <f t="shared" si="12"/>
        <v>#N/A</v>
      </c>
      <c r="T33" s="1563" t="s">
        <v>8</v>
      </c>
      <c r="U33" s="1564" t="e">
        <f t="shared" si="13"/>
        <v>#N/A</v>
      </c>
      <c r="V33" s="1563" t="s">
        <v>8</v>
      </c>
      <c r="W33" s="1564" t="e">
        <f t="shared" si="14"/>
        <v>#N/A</v>
      </c>
      <c r="X33" s="1565"/>
      <c r="Y33" s="3470"/>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70"/>
      <c r="Q34" s="1558" t="str">
        <f t="shared" si="11"/>
        <v>建筑结构</v>
      </c>
      <c r="R34" s="1559" t="s">
        <v>8</v>
      </c>
      <c r="S34" s="1560">
        <f t="shared" si="12"/>
        <v>100</v>
      </c>
      <c r="T34" s="1559" t="s">
        <v>8</v>
      </c>
      <c r="U34" s="1560">
        <f t="shared" si="13"/>
        <v>100</v>
      </c>
      <c r="V34" s="1559" t="s">
        <v>8</v>
      </c>
      <c r="W34" s="1560">
        <f t="shared" si="14"/>
        <v>100</v>
      </c>
      <c r="X34" s="1553"/>
      <c r="Y34" s="347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70"/>
      <c r="Q35" s="1558" t="str">
        <f t="shared" si="11"/>
        <v>公共部分装修</v>
      </c>
      <c r="R35" s="1559" t="s">
        <v>8</v>
      </c>
      <c r="S35" s="1560">
        <f t="shared" si="12"/>
        <v>100</v>
      </c>
      <c r="T35" s="1559" t="s">
        <v>8</v>
      </c>
      <c r="U35" s="1560">
        <f t="shared" si="13"/>
        <v>100</v>
      </c>
      <c r="V35" s="1559" t="s">
        <v>8</v>
      </c>
      <c r="W35" s="1560">
        <f t="shared" si="14"/>
        <v>100</v>
      </c>
      <c r="X35" s="1553"/>
      <c r="Y35" s="3470"/>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70"/>
      <c r="Q36" s="1558" t="str">
        <f t="shared" si="11"/>
        <v>成新度</v>
      </c>
      <c r="R36" s="1559" t="s">
        <v>8</v>
      </c>
      <c r="S36" s="1560" t="e">
        <f t="shared" si="12"/>
        <v>#N/A</v>
      </c>
      <c r="T36" s="1559" t="s">
        <v>8</v>
      </c>
      <c r="U36" s="1560" t="e">
        <f t="shared" si="13"/>
        <v>#N/A</v>
      </c>
      <c r="V36" s="1559" t="s">
        <v>8</v>
      </c>
      <c r="W36" s="1560" t="e">
        <f t="shared" si="14"/>
        <v>#N/A</v>
      </c>
      <c r="X36" s="1553"/>
      <c r="Y36" s="3470"/>
      <c r="Z36" s="1561" t="str">
        <f t="shared" si="15"/>
        <v>成新度</v>
      </c>
      <c r="AA36" s="1562" t="e">
        <f t="shared" si="3"/>
        <v>#N/A</v>
      </c>
      <c r="AB36" s="1562" t="e">
        <f t="shared" si="4"/>
        <v>#N/A</v>
      </c>
      <c r="AC36" s="1562" t="e">
        <f t="shared" si="5"/>
        <v>#N/A</v>
      </c>
    </row>
    <row r="37" spans="1:29" s="1216" customFormat="1" ht="15">
      <c r="A37" s="600"/>
      <c r="B37" s="1879"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70"/>
      <c r="Q37" s="1147" t="str">
        <f t="shared" si="11"/>
        <v>市政基础设施</v>
      </c>
      <c r="R37" s="1554" t="s">
        <v>8</v>
      </c>
      <c r="S37" s="1555">
        <f t="shared" si="12"/>
        <v>100</v>
      </c>
      <c r="T37" s="1554" t="s">
        <v>8</v>
      </c>
      <c r="U37" s="1555">
        <f t="shared" si="13"/>
        <v>100</v>
      </c>
      <c r="V37" s="1554" t="s">
        <v>8</v>
      </c>
      <c r="W37" s="1555">
        <f t="shared" si="14"/>
        <v>100</v>
      </c>
      <c r="X37" s="1556"/>
      <c r="Y37" s="3470"/>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70" t="s">
        <v>766</v>
      </c>
      <c r="Q38" s="1558" t="str">
        <f t="shared" si="11"/>
        <v>业态</v>
      </c>
      <c r="R38" s="1559" t="s">
        <v>8</v>
      </c>
      <c r="S38" s="1560">
        <f t="shared" si="12"/>
        <v>100</v>
      </c>
      <c r="T38" s="1559" t="s">
        <v>8</v>
      </c>
      <c r="U38" s="1560">
        <f t="shared" si="13"/>
        <v>100</v>
      </c>
      <c r="V38" s="1559" t="s">
        <v>8</v>
      </c>
      <c r="W38" s="1560">
        <f t="shared" si="14"/>
        <v>100</v>
      </c>
      <c r="X38" s="1553"/>
      <c r="Y38" s="347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0"/>
      <c r="Q39" s="1558" t="str">
        <f t="shared" si="11"/>
        <v>层高</v>
      </c>
      <c r="R39" s="1559" t="s">
        <v>8</v>
      </c>
      <c r="S39" s="1560">
        <f t="shared" si="12"/>
        <v>100</v>
      </c>
      <c r="T39" s="1559" t="s">
        <v>8</v>
      </c>
      <c r="U39" s="1560">
        <f t="shared" si="13"/>
        <v>100</v>
      </c>
      <c r="V39" s="1559" t="s">
        <v>8</v>
      </c>
      <c r="W39" s="1560">
        <f t="shared" si="14"/>
        <v>100</v>
      </c>
      <c r="X39" s="1553"/>
      <c r="Y39" s="3470"/>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70"/>
      <c r="Q40" s="1558" t="str">
        <f t="shared" si="11"/>
        <v>单套建筑面积</v>
      </c>
      <c r="R40" s="1559" t="s">
        <v>8</v>
      </c>
      <c r="S40" s="1560">
        <f t="shared" si="12"/>
        <v>100</v>
      </c>
      <c r="T40" s="1559" t="s">
        <v>8</v>
      </c>
      <c r="U40" s="1560">
        <f t="shared" si="13"/>
        <v>100</v>
      </c>
      <c r="V40" s="1559" t="s">
        <v>8</v>
      </c>
      <c r="W40" s="1560">
        <f t="shared" si="14"/>
        <v>100</v>
      </c>
      <c r="X40" s="1553"/>
      <c r="Y40" s="3470"/>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70"/>
      <c r="Q41" s="1590" t="str">
        <f t="shared" si="11"/>
        <v>进深比</v>
      </c>
      <c r="R41" s="1563" t="s">
        <v>8</v>
      </c>
      <c r="S41" s="1564">
        <f t="shared" si="12"/>
        <v>100</v>
      </c>
      <c r="T41" s="1563" t="s">
        <v>8</v>
      </c>
      <c r="U41" s="1564">
        <f t="shared" si="13"/>
        <v>100</v>
      </c>
      <c r="V41" s="1563" t="s">
        <v>8</v>
      </c>
      <c r="W41" s="1564">
        <f t="shared" si="14"/>
        <v>100</v>
      </c>
      <c r="X41" s="1565"/>
      <c r="Y41" s="347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70"/>
      <c r="Q42" s="1558" t="str">
        <f t="shared" si="11"/>
        <v>内部装修</v>
      </c>
      <c r="R42" s="1559" t="s">
        <v>8</v>
      </c>
      <c r="S42" s="1560">
        <f t="shared" si="12"/>
        <v>100</v>
      </c>
      <c r="T42" s="1559" t="s">
        <v>8</v>
      </c>
      <c r="U42" s="1560">
        <f t="shared" si="13"/>
        <v>100</v>
      </c>
      <c r="V42" s="1559" t="s">
        <v>8</v>
      </c>
      <c r="W42" s="1560">
        <f t="shared" si="14"/>
        <v>100</v>
      </c>
      <c r="X42" s="1553"/>
      <c r="Y42" s="3470"/>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70"/>
      <c r="Q43" s="1558" t="str">
        <f t="shared" si="11"/>
        <v>内部装修维护情况</v>
      </c>
      <c r="R43" s="1559" t="s">
        <v>8</v>
      </c>
      <c r="S43" s="1560">
        <f t="shared" si="12"/>
        <v>100</v>
      </c>
      <c r="T43" s="1559" t="s">
        <v>8</v>
      </c>
      <c r="U43" s="1560">
        <f t="shared" si="13"/>
        <v>100</v>
      </c>
      <c r="V43" s="1559" t="s">
        <v>8</v>
      </c>
      <c r="W43" s="1560">
        <f t="shared" si="14"/>
        <v>100</v>
      </c>
      <c r="X43" s="1553"/>
      <c r="Y43" s="347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70"/>
      <c r="Q44" s="1147">
        <f t="shared" si="11"/>
        <v>111</v>
      </c>
      <c r="R44" s="1554" t="s">
        <v>8</v>
      </c>
      <c r="S44" s="1555">
        <f t="shared" si="12"/>
        <v>100</v>
      </c>
      <c r="T44" s="1554" t="s">
        <v>8</v>
      </c>
      <c r="U44" s="1555">
        <f t="shared" si="13"/>
        <v>100</v>
      </c>
      <c r="V44" s="1554" t="s">
        <v>8</v>
      </c>
      <c r="W44" s="1555">
        <f t="shared" si="14"/>
        <v>100</v>
      </c>
      <c r="X44" s="1556"/>
      <c r="Y44" s="347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70"/>
      <c r="Q45" s="1558">
        <f t="shared" si="11"/>
        <v>111</v>
      </c>
      <c r="R45" s="1559" t="s">
        <v>8</v>
      </c>
      <c r="S45" s="1560">
        <f t="shared" si="12"/>
        <v>100</v>
      </c>
      <c r="T45" s="1559" t="s">
        <v>8</v>
      </c>
      <c r="U45" s="1560">
        <f t="shared" si="13"/>
        <v>100</v>
      </c>
      <c r="V45" s="1559" t="s">
        <v>8</v>
      </c>
      <c r="W45" s="1560">
        <f t="shared" si="14"/>
        <v>100</v>
      </c>
      <c r="X45" s="1553"/>
      <c r="Y45" s="347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51"/>
      <c r="Q46" s="1558">
        <f t="shared" si="11"/>
        <v>111</v>
      </c>
      <c r="R46" s="1559" t="s">
        <v>8</v>
      </c>
      <c r="S46" s="1560">
        <f t="shared" si="12"/>
        <v>100</v>
      </c>
      <c r="T46" s="1559" t="s">
        <v>8</v>
      </c>
      <c r="U46" s="1560">
        <f t="shared" si="13"/>
        <v>100</v>
      </c>
      <c r="V46" s="1559" t="s">
        <v>8</v>
      </c>
      <c r="W46" s="1560">
        <f t="shared" si="14"/>
        <v>100</v>
      </c>
      <c r="X46" s="1553"/>
      <c r="Y46" s="3551"/>
      <c r="Z46" s="1561">
        <f t="shared" si="15"/>
        <v>111</v>
      </c>
      <c r="AA46" s="1562">
        <f t="shared" si="3"/>
        <v>1</v>
      </c>
      <c r="AB46" s="1562">
        <f t="shared" si="4"/>
        <v>1</v>
      </c>
      <c r="AC46" s="1562">
        <f t="shared" si="5"/>
        <v>1</v>
      </c>
    </row>
    <row r="47" spans="1:29" ht="15">
      <c r="A47" s="607" t="s">
        <v>736</v>
      </c>
      <c r="B47" s="887"/>
      <c r="C47" s="2590" t="s">
        <v>1</v>
      </c>
      <c r="D47" s="2591"/>
      <c r="E47" s="2592"/>
      <c r="F47" s="2593"/>
      <c r="G47" s="2594"/>
      <c r="H47" s="2595"/>
      <c r="I47" s="2592"/>
      <c r="J47" s="2595"/>
      <c r="K47" s="1596"/>
      <c r="L47" s="2128"/>
      <c r="M47" s="2129"/>
      <c r="N47" s="2118"/>
      <c r="O47" s="2129"/>
      <c r="P47" s="3433" t="str">
        <f>A47</f>
        <v>成交单价（元/平方米）</v>
      </c>
      <c r="Q47" s="3433"/>
      <c r="R47" s="3550">
        <f>E47</f>
        <v>0</v>
      </c>
      <c r="S47" s="3550"/>
      <c r="T47" s="3550">
        <f>G47</f>
        <v>0</v>
      </c>
      <c r="U47" s="3550"/>
      <c r="V47" s="3550">
        <f>I47</f>
        <v>0</v>
      </c>
      <c r="W47" s="3550"/>
      <c r="X47" s="1545"/>
      <c r="Y47" s="1567"/>
      <c r="Z47" s="1545"/>
      <c r="AA47" s="1545"/>
      <c r="AB47" s="1545"/>
      <c r="AC47" s="1545"/>
    </row>
    <row r="48" spans="1:29" ht="15.75" thickBot="1">
      <c r="A48" s="615" t="s">
        <v>2758</v>
      </c>
      <c r="B48" s="888"/>
      <c r="C48" s="2596" t="e">
        <f>R49</f>
        <v>#DIV/0!</v>
      </c>
      <c r="D48" s="2597"/>
      <c r="E48" s="2598" t="e">
        <f>R48</f>
        <v>#DIV/0!</v>
      </c>
      <c r="F48" s="2598"/>
      <c r="G48" s="2596" t="e">
        <f>T48</f>
        <v>#DIV/0!</v>
      </c>
      <c r="H48" s="2597"/>
      <c r="I48" s="2598" t="e">
        <f>V48</f>
        <v>#DIV/0!</v>
      </c>
      <c r="J48" s="2597"/>
      <c r="K48" s="1597"/>
      <c r="L48" s="2128"/>
      <c r="M48" s="2129"/>
      <c r="N48" s="2118"/>
      <c r="O48" s="2129"/>
      <c r="P48" s="3433" t="str">
        <f>A48</f>
        <v>比较价格（元/平方米）</v>
      </c>
      <c r="Q48" s="3433"/>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45"/>
      <c r="Y48" s="1545"/>
      <c r="Z48" s="1545"/>
      <c r="AA48" s="1545"/>
      <c r="AB48" s="1545"/>
      <c r="AC48" s="1545"/>
    </row>
    <row r="49" spans="1:29" ht="15.75" thickBot="1">
      <c r="A49" s="621" t="s">
        <v>2934</v>
      </c>
      <c r="B49" s="622"/>
      <c r="C49" s="2599" t="e">
        <f>R49</f>
        <v>#DIV/0!</v>
      </c>
      <c r="D49" s="2599"/>
      <c r="E49" s="2599"/>
      <c r="F49" s="2599"/>
      <c r="G49" s="2599"/>
      <c r="H49" s="2599"/>
      <c r="I49" s="2599"/>
      <c r="J49" s="2599"/>
      <c r="K49" s="1598"/>
      <c r="L49" s="2128"/>
      <c r="M49" s="2129"/>
      <c r="N49" s="2118"/>
      <c r="O49" s="2129"/>
      <c r="P49" s="3430" t="str">
        <f>A49</f>
        <v>估价对象XX用房的比较价格（楼面单价，元/平方米）</v>
      </c>
      <c r="Q49" s="3431"/>
      <c r="R49" s="3549" t="e">
        <f>IF(F1="售价",ROUND(AVERAGE(R48:V48),0),ROUND(AVERAGE(R48:V48),1))</f>
        <v>#DIV/0!</v>
      </c>
      <c r="S49" s="3549"/>
      <c r="T49" s="3549"/>
      <c r="U49" s="3549"/>
      <c r="V49" s="3549"/>
      <c r="W49" s="3549"/>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2555</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521</v>
      </c>
      <c r="B4" s="513"/>
      <c r="C4" s="3439" t="s">
        <v>522</v>
      </c>
      <c r="D4" s="3440"/>
      <c r="E4" s="3473" t="s">
        <v>523</v>
      </c>
      <c r="F4" s="3474"/>
      <c r="G4" s="3439" t="s">
        <v>524</v>
      </c>
      <c r="H4" s="3440"/>
      <c r="I4" s="3439" t="s">
        <v>525</v>
      </c>
      <c r="J4" s="3440"/>
      <c r="K4" s="514" t="s">
        <v>526</v>
      </c>
      <c r="L4" s="2117"/>
      <c r="M4" s="2118"/>
      <c r="N4" s="2118"/>
      <c r="O4" s="2118"/>
      <c r="P4" s="3557" t="s">
        <v>527</v>
      </c>
      <c r="Q4" s="3442"/>
      <c r="R4" s="3447" t="s">
        <v>523</v>
      </c>
      <c r="S4" s="3448"/>
      <c r="T4" s="3447" t="s">
        <v>524</v>
      </c>
      <c r="U4" s="3448"/>
      <c r="V4" s="3434" t="s">
        <v>525</v>
      </c>
      <c r="W4" s="3434"/>
      <c r="X4" s="1553"/>
      <c r="Y4" s="3447" t="s">
        <v>527</v>
      </c>
      <c r="Z4" s="3448"/>
      <c r="AA4" s="3436" t="s">
        <v>523</v>
      </c>
      <c r="AB4" s="3436" t="s">
        <v>524</v>
      </c>
      <c r="AC4" s="3436" t="s">
        <v>525</v>
      </c>
    </row>
    <row r="5" spans="1:29" ht="15">
      <c r="A5" s="515"/>
      <c r="B5" s="516"/>
      <c r="C5" s="3455" t="s">
        <v>2928</v>
      </c>
      <c r="D5" s="3456"/>
      <c r="E5" s="3475" t="s">
        <v>2929</v>
      </c>
      <c r="F5" s="3476"/>
      <c r="G5" s="3455" t="s">
        <v>2930</v>
      </c>
      <c r="H5" s="3456"/>
      <c r="I5" s="3455" t="s">
        <v>2931</v>
      </c>
      <c r="J5" s="3456"/>
      <c r="K5" s="514"/>
      <c r="L5" s="2117"/>
      <c r="M5" s="2118"/>
      <c r="N5" s="2118"/>
      <c r="O5" s="2118"/>
      <c r="P5" s="3558"/>
      <c r="Q5" s="3444"/>
      <c r="R5" s="3449"/>
      <c r="S5" s="3450"/>
      <c r="T5" s="3449"/>
      <c r="U5" s="3450"/>
      <c r="V5" s="3434"/>
      <c r="W5" s="3434"/>
      <c r="X5" s="1553"/>
      <c r="Y5" s="3449"/>
      <c r="Z5" s="3450"/>
      <c r="AA5" s="3437"/>
      <c r="AB5" s="3437"/>
      <c r="AC5" s="3437"/>
    </row>
    <row r="6" spans="1:29" ht="15.75" thickBot="1">
      <c r="A6" s="517"/>
      <c r="B6" s="518"/>
      <c r="C6" s="3453" t="s">
        <v>2932</v>
      </c>
      <c r="D6" s="3454"/>
      <c r="E6" s="3471" t="s">
        <v>2932</v>
      </c>
      <c r="F6" s="3472"/>
      <c r="G6" s="3453" t="s">
        <v>2932</v>
      </c>
      <c r="H6" s="3454"/>
      <c r="I6" s="3453" t="s">
        <v>2932</v>
      </c>
      <c r="J6" s="3454"/>
      <c r="K6" s="514" t="s">
        <v>528</v>
      </c>
      <c r="L6" s="2117"/>
      <c r="M6" s="2118"/>
      <c r="N6" s="2118"/>
      <c r="O6" s="2118"/>
      <c r="P6" s="3559"/>
      <c r="Q6" s="3446"/>
      <c r="R6" s="3449"/>
      <c r="S6" s="3450"/>
      <c r="T6" s="3451"/>
      <c r="U6" s="3452"/>
      <c r="V6" s="3434"/>
      <c r="W6" s="3434"/>
      <c r="X6" s="1553"/>
      <c r="Y6" s="3451"/>
      <c r="Z6" s="3452"/>
      <c r="AA6" s="3438"/>
      <c r="AB6" s="3438"/>
      <c r="AC6" s="3438"/>
    </row>
    <row r="7" spans="1:29" s="1216" customFormat="1" ht="15.75" thickBot="1">
      <c r="A7" s="2866"/>
      <c r="B7" s="2873" t="s">
        <v>529</v>
      </c>
      <c r="C7" s="519">
        <f>'数据-取费表'!B2</f>
        <v>43565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66" t="s">
        <v>530</v>
      </c>
      <c r="Q7" s="3466"/>
      <c r="R7" s="1554" t="s">
        <v>8</v>
      </c>
      <c r="S7" s="1555">
        <f t="shared" ref="S7:S15" si="0">F7</f>
        <v>0</v>
      </c>
      <c r="T7" s="1554" t="s">
        <v>8</v>
      </c>
      <c r="U7" s="1555">
        <f t="shared" ref="U7:U15" si="1">H7</f>
        <v>0</v>
      </c>
      <c r="V7" s="1554" t="s">
        <v>8</v>
      </c>
      <c r="W7" s="1555">
        <f t="shared" ref="W7:W15" si="2">J7</f>
        <v>0</v>
      </c>
      <c r="X7" s="1556"/>
      <c r="Y7" s="3464" t="s">
        <v>530</v>
      </c>
      <c r="Z7" s="3465"/>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66" t="s">
        <v>533</v>
      </c>
      <c r="Q8" s="3465"/>
      <c r="R8" s="1554" t="s">
        <v>8</v>
      </c>
      <c r="S8" s="1555">
        <f t="shared" si="0"/>
        <v>0</v>
      </c>
      <c r="T8" s="1554" t="s">
        <v>8</v>
      </c>
      <c r="U8" s="1555">
        <f t="shared" si="1"/>
        <v>0</v>
      </c>
      <c r="V8" s="1554" t="s">
        <v>8</v>
      </c>
      <c r="W8" s="1555">
        <f t="shared" si="2"/>
        <v>0</v>
      </c>
      <c r="X8" s="1556"/>
      <c r="Y8" s="3464" t="s">
        <v>533</v>
      </c>
      <c r="Z8" s="3465"/>
      <c r="AA8" s="1557" t="e">
        <f t="shared" ref="AA8:AA47" si="3">D8/F8</f>
        <v>#DIV/0!</v>
      </c>
      <c r="AB8" s="1557" t="e">
        <f t="shared" ref="AB8:AB47" si="4">D8/H8</f>
        <v>#DIV/0!</v>
      </c>
      <c r="AC8" s="1557"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33" t="s">
        <v>535</v>
      </c>
      <c r="Q9" s="1147" t="str">
        <f t="shared" ref="Q9:Q15" si="6">B9</f>
        <v>用途</v>
      </c>
      <c r="R9" s="1554" t="s">
        <v>8</v>
      </c>
      <c r="S9" s="1555">
        <f t="shared" si="0"/>
        <v>100</v>
      </c>
      <c r="T9" s="1554" t="s">
        <v>8</v>
      </c>
      <c r="U9" s="1555">
        <f t="shared" si="1"/>
        <v>100</v>
      </c>
      <c r="V9" s="1554" t="s">
        <v>8</v>
      </c>
      <c r="W9" s="1555">
        <f t="shared" si="2"/>
        <v>100</v>
      </c>
      <c r="X9" s="1556"/>
      <c r="Y9" s="3379"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33"/>
      <c r="Q11" s="1147" t="str">
        <f t="shared" si="6"/>
        <v>容积率</v>
      </c>
      <c r="R11" s="1554" t="s">
        <v>8</v>
      </c>
      <c r="S11" s="1555" t="e">
        <f t="shared" si="0"/>
        <v>#N/A</v>
      </c>
      <c r="T11" s="1554" t="s">
        <v>8</v>
      </c>
      <c r="U11" s="1555" t="e">
        <f t="shared" si="1"/>
        <v>#N/A</v>
      </c>
      <c r="V11" s="1554" t="s">
        <v>8</v>
      </c>
      <c r="W11" s="1555" t="e">
        <f t="shared" si="2"/>
        <v>#N/A</v>
      </c>
      <c r="X11" s="1556"/>
      <c r="Y11" s="337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33"/>
      <c r="Q12" s="1147">
        <f t="shared" si="6"/>
        <v>111</v>
      </c>
      <c r="R12" s="1554" t="s">
        <v>8</v>
      </c>
      <c r="S12" s="1555">
        <f t="shared" si="0"/>
        <v>100</v>
      </c>
      <c r="T12" s="1554" t="s">
        <v>8</v>
      </c>
      <c r="U12" s="1555">
        <f t="shared" si="1"/>
        <v>100</v>
      </c>
      <c r="V12" s="1554" t="s">
        <v>8</v>
      </c>
      <c r="W12" s="1555">
        <f t="shared" si="2"/>
        <v>100</v>
      </c>
      <c r="X12" s="1556"/>
      <c r="Y12" s="3379"/>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33"/>
      <c r="Q13" s="1147">
        <f t="shared" si="6"/>
        <v>111</v>
      </c>
      <c r="R13" s="1554" t="s">
        <v>8</v>
      </c>
      <c r="S13" s="1555">
        <f t="shared" si="0"/>
        <v>100</v>
      </c>
      <c r="T13" s="1554" t="s">
        <v>8</v>
      </c>
      <c r="U13" s="1555">
        <f t="shared" si="1"/>
        <v>100</v>
      </c>
      <c r="V13" s="1554" t="s">
        <v>8</v>
      </c>
      <c r="W13" s="1555">
        <f t="shared" si="2"/>
        <v>100</v>
      </c>
      <c r="X13" s="1556"/>
      <c r="Y13" s="3379"/>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33"/>
      <c r="Q14" s="1147">
        <f t="shared" si="6"/>
        <v>111</v>
      </c>
      <c r="R14" s="1554" t="s">
        <v>8</v>
      </c>
      <c r="S14" s="1555">
        <f t="shared" si="0"/>
        <v>100</v>
      </c>
      <c r="T14" s="1554" t="s">
        <v>8</v>
      </c>
      <c r="U14" s="1555">
        <f t="shared" si="1"/>
        <v>100</v>
      </c>
      <c r="V14" s="1554" t="s">
        <v>8</v>
      </c>
      <c r="W14" s="1555">
        <f t="shared" si="2"/>
        <v>100</v>
      </c>
      <c r="X14" s="1556"/>
      <c r="Y14" s="3379"/>
      <c r="Z14" s="1146">
        <f t="shared" si="7"/>
        <v>111</v>
      </c>
      <c r="AA14" s="1557">
        <f t="shared" si="3"/>
        <v>1</v>
      </c>
      <c r="AB14" s="1557">
        <f t="shared" si="4"/>
        <v>1</v>
      </c>
      <c r="AC14" s="1557">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67" t="s">
        <v>540</v>
      </c>
      <c r="Q15" s="1558" t="str">
        <f t="shared" si="6"/>
        <v>办公集聚程度</v>
      </c>
      <c r="R15" s="1559" t="s">
        <v>8</v>
      </c>
      <c r="S15" s="1560">
        <f t="shared" si="0"/>
        <v>100</v>
      </c>
      <c r="T15" s="1559" t="s">
        <v>8</v>
      </c>
      <c r="U15" s="1560">
        <f t="shared" si="1"/>
        <v>100</v>
      </c>
      <c r="V15" s="1559" t="s">
        <v>8</v>
      </c>
      <c r="W15" s="1560">
        <f t="shared" si="2"/>
        <v>100</v>
      </c>
      <c r="X15" s="1553"/>
      <c r="Y15" s="346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468"/>
      <c r="Q16" s="1558"/>
      <c r="R16" s="1559"/>
      <c r="S16" s="1560"/>
      <c r="T16" s="1559"/>
      <c r="U16" s="1560"/>
      <c r="V16" s="1559"/>
      <c r="W16" s="1560"/>
      <c r="X16" s="1553"/>
      <c r="Y16" s="346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68"/>
      <c r="Q17" s="1558" t="str">
        <f>B17</f>
        <v>交通便捷度</v>
      </c>
      <c r="R17" s="1559" t="s">
        <v>8</v>
      </c>
      <c r="S17" s="1560">
        <f>F17</f>
        <v>100</v>
      </c>
      <c r="T17" s="1559" t="s">
        <v>8</v>
      </c>
      <c r="U17" s="1560">
        <f>H17</f>
        <v>100</v>
      </c>
      <c r="V17" s="1559" t="s">
        <v>8</v>
      </c>
      <c r="W17" s="1560">
        <f>J17</f>
        <v>100</v>
      </c>
      <c r="X17" s="1553"/>
      <c r="Y17" s="346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468"/>
      <c r="Q18" s="1558"/>
      <c r="R18" s="1559"/>
      <c r="S18" s="1560"/>
      <c r="T18" s="1559"/>
      <c r="U18" s="1560"/>
      <c r="V18" s="1559"/>
      <c r="W18" s="1560"/>
      <c r="X18" s="1553"/>
      <c r="Y18" s="3468"/>
      <c r="Z18" s="1561"/>
      <c r="AA18" s="1562">
        <v>1</v>
      </c>
      <c r="AB18" s="1562">
        <v>1</v>
      </c>
      <c r="AC18" s="1562">
        <v>1</v>
      </c>
    </row>
    <row r="19" spans="1:29" ht="42.75">
      <c r="A19" s="532"/>
      <c r="B19" s="2566"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68"/>
      <c r="Q19" s="1558" t="str">
        <f>B19</f>
        <v>公共配套设施</v>
      </c>
      <c r="R19" s="1559" t="s">
        <v>8</v>
      </c>
      <c r="S19" s="1560">
        <f>F19</f>
        <v>100</v>
      </c>
      <c r="T19" s="1559" t="s">
        <v>8</v>
      </c>
      <c r="U19" s="1560">
        <f>H19</f>
        <v>100</v>
      </c>
      <c r="V19" s="1559" t="s">
        <v>8</v>
      </c>
      <c r="W19" s="1560">
        <f>J19</f>
        <v>100</v>
      </c>
      <c r="X19" s="1553"/>
      <c r="Y19" s="346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468"/>
      <c r="Q20" s="1558"/>
      <c r="R20" s="1559"/>
      <c r="S20" s="1560"/>
      <c r="T20" s="1559"/>
      <c r="U20" s="1560"/>
      <c r="V20" s="1559"/>
      <c r="W20" s="1560"/>
      <c r="X20" s="1553"/>
      <c r="Y20" s="3468"/>
      <c r="Z20" s="1561"/>
      <c r="AA20" s="1562">
        <v>1</v>
      </c>
      <c r="AB20" s="1562">
        <v>1</v>
      </c>
      <c r="AC20" s="1562">
        <v>1</v>
      </c>
    </row>
    <row r="21" spans="1:29" ht="28.5">
      <c r="A21" s="532"/>
      <c r="B21" s="2554"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68"/>
      <c r="Q21" s="2542" t="str">
        <f>B21</f>
        <v>基础设施水平</v>
      </c>
      <c r="R21" s="1559" t="s">
        <v>8</v>
      </c>
      <c r="S21" s="1560">
        <f>F21</f>
        <v>100</v>
      </c>
      <c r="T21" s="1559" t="s">
        <v>8</v>
      </c>
      <c r="U21" s="1560">
        <f>H21</f>
        <v>100</v>
      </c>
      <c r="V21" s="1559" t="s">
        <v>8</v>
      </c>
      <c r="W21" s="1560">
        <f>J21</f>
        <v>100</v>
      </c>
      <c r="X21" s="2544"/>
      <c r="Y21" s="3468"/>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468"/>
      <c r="Q22" s="2542"/>
      <c r="R22" s="1559"/>
      <c r="S22" s="1560"/>
      <c r="T22" s="1559"/>
      <c r="U22" s="1560"/>
      <c r="V22" s="1559"/>
      <c r="W22" s="1560"/>
      <c r="X22" s="2544"/>
      <c r="Y22" s="3468"/>
      <c r="Z22" s="2543"/>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68"/>
      <c r="Q23" s="1558" t="str">
        <f>B23</f>
        <v>环境质量</v>
      </c>
      <c r="R23" s="1559" t="s">
        <v>8</v>
      </c>
      <c r="S23" s="1560">
        <f>F23</f>
        <v>100</v>
      </c>
      <c r="T23" s="1559" t="s">
        <v>8</v>
      </c>
      <c r="U23" s="1560">
        <f>H23</f>
        <v>100</v>
      </c>
      <c r="V23" s="1559" t="s">
        <v>8</v>
      </c>
      <c r="W23" s="1560">
        <f>J23</f>
        <v>100</v>
      </c>
      <c r="X23" s="1553"/>
      <c r="Y23" s="346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468"/>
      <c r="Q24" s="1558"/>
      <c r="R24" s="1559"/>
      <c r="S24" s="1560"/>
      <c r="T24" s="1559"/>
      <c r="U24" s="1560"/>
      <c r="V24" s="1559"/>
      <c r="W24" s="1560"/>
      <c r="X24" s="1553"/>
      <c r="Y24" s="3468"/>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68"/>
      <c r="Q25" s="1558" t="str">
        <f>B25</f>
        <v>毗邻道路的类型与等级</v>
      </c>
      <c r="R25" s="1559" t="s">
        <v>8</v>
      </c>
      <c r="S25" s="1560">
        <f>F25</f>
        <v>100</v>
      </c>
      <c r="T25" s="1559" t="s">
        <v>8</v>
      </c>
      <c r="U25" s="1560">
        <f>H25</f>
        <v>100</v>
      </c>
      <c r="V25" s="1559" t="s">
        <v>8</v>
      </c>
      <c r="W25" s="1560">
        <f>J25</f>
        <v>100</v>
      </c>
      <c r="X25" s="1553"/>
      <c r="Y25" s="346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468"/>
      <c r="Q26" s="1558"/>
      <c r="R26" s="1559"/>
      <c r="S26" s="1560"/>
      <c r="T26" s="1559"/>
      <c r="U26" s="1560"/>
      <c r="V26" s="1559"/>
      <c r="W26" s="1560"/>
      <c r="X26" s="1553"/>
      <c r="Y26" s="346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68"/>
      <c r="Q27" s="1558" t="str">
        <f t="shared" ref="Q27:Q47" si="11">B27</f>
        <v>楼层</v>
      </c>
      <c r="R27" s="1559" t="s">
        <v>8</v>
      </c>
      <c r="S27" s="1560">
        <f>F27</f>
        <v>100</v>
      </c>
      <c r="T27" s="1559" t="s">
        <v>8</v>
      </c>
      <c r="U27" s="1560">
        <f>H27</f>
        <v>100</v>
      </c>
      <c r="V27" s="1559" t="s">
        <v>8</v>
      </c>
      <c r="W27" s="1560">
        <f>J27</f>
        <v>100</v>
      </c>
      <c r="X27" s="1553"/>
      <c r="Y27" s="3468"/>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68"/>
      <c r="Q28" s="1147" t="str">
        <f t="shared" si="11"/>
        <v>朝向</v>
      </c>
      <c r="R28" s="1554" t="s">
        <v>8</v>
      </c>
      <c r="S28" s="1555">
        <f>F28</f>
        <v>100</v>
      </c>
      <c r="T28" s="1554" t="s">
        <v>8</v>
      </c>
      <c r="U28" s="1555">
        <f>H28</f>
        <v>100</v>
      </c>
      <c r="V28" s="1554" t="s">
        <v>8</v>
      </c>
      <c r="W28" s="1555">
        <f>J28</f>
        <v>100</v>
      </c>
      <c r="X28" s="1556"/>
      <c r="Y28" s="3468"/>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68"/>
      <c r="Q29" s="1558">
        <f t="shared" si="11"/>
        <v>111</v>
      </c>
      <c r="R29" s="1559" t="s">
        <v>8</v>
      </c>
      <c r="S29" s="1560">
        <f t="shared" ref="S29:S47" si="12">F29</f>
        <v>100</v>
      </c>
      <c r="T29" s="1559" t="s">
        <v>8</v>
      </c>
      <c r="U29" s="1560">
        <f t="shared" ref="U29:U47" si="13">H29</f>
        <v>100</v>
      </c>
      <c r="V29" s="1559" t="s">
        <v>8</v>
      </c>
      <c r="W29" s="1560">
        <f t="shared" ref="W29:W47" si="14">J29</f>
        <v>100</v>
      </c>
      <c r="X29" s="1553"/>
      <c r="Y29" s="346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68"/>
      <c r="Q30" s="1558">
        <f t="shared" si="11"/>
        <v>111</v>
      </c>
      <c r="R30" s="1559" t="s">
        <v>8</v>
      </c>
      <c r="S30" s="1560">
        <f t="shared" si="12"/>
        <v>100</v>
      </c>
      <c r="T30" s="1559" t="s">
        <v>8</v>
      </c>
      <c r="U30" s="1560">
        <f t="shared" si="13"/>
        <v>100</v>
      </c>
      <c r="V30" s="1559" t="s">
        <v>8</v>
      </c>
      <c r="W30" s="1560">
        <f t="shared" si="14"/>
        <v>100</v>
      </c>
      <c r="X30" s="1553"/>
      <c r="Y30" s="346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68"/>
      <c r="Q31" s="1558">
        <f t="shared" si="11"/>
        <v>111</v>
      </c>
      <c r="R31" s="1559" t="s">
        <v>8</v>
      </c>
      <c r="S31" s="1560">
        <f t="shared" si="12"/>
        <v>100</v>
      </c>
      <c r="T31" s="1559" t="s">
        <v>8</v>
      </c>
      <c r="U31" s="1560">
        <f t="shared" si="13"/>
        <v>100</v>
      </c>
      <c r="V31" s="1559" t="s">
        <v>8</v>
      </c>
      <c r="W31" s="1560">
        <f t="shared" si="14"/>
        <v>100</v>
      </c>
      <c r="X31" s="1553"/>
      <c r="Y31" s="346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68"/>
      <c r="Q32" s="1558">
        <f t="shared" si="11"/>
        <v>111</v>
      </c>
      <c r="R32" s="1559" t="s">
        <v>8</v>
      </c>
      <c r="S32" s="1560">
        <f t="shared" si="12"/>
        <v>100</v>
      </c>
      <c r="T32" s="1559" t="s">
        <v>8</v>
      </c>
      <c r="U32" s="1560">
        <f t="shared" si="13"/>
        <v>100</v>
      </c>
      <c r="V32" s="1559" t="s">
        <v>8</v>
      </c>
      <c r="W32" s="1560">
        <f t="shared" si="14"/>
        <v>100</v>
      </c>
      <c r="X32" s="1553"/>
      <c r="Y32" s="3468"/>
      <c r="Z32" s="1561">
        <f t="shared" si="15"/>
        <v>111</v>
      </c>
      <c r="AA32" s="1562">
        <f t="shared" si="3"/>
        <v>1</v>
      </c>
      <c r="AB32" s="1562">
        <f t="shared" si="4"/>
        <v>1</v>
      </c>
      <c r="AC32" s="1562">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69" t="s">
        <v>550</v>
      </c>
      <c r="Q33" s="1558" t="str">
        <f t="shared" si="11"/>
        <v>建筑类型</v>
      </c>
      <c r="R33" s="1559" t="s">
        <v>8</v>
      </c>
      <c r="S33" s="1560">
        <f t="shared" si="12"/>
        <v>100</v>
      </c>
      <c r="T33" s="1559" t="s">
        <v>8</v>
      </c>
      <c r="U33" s="1560">
        <f t="shared" si="13"/>
        <v>100</v>
      </c>
      <c r="V33" s="1559" t="s">
        <v>8</v>
      </c>
      <c r="W33" s="1560">
        <f t="shared" si="14"/>
        <v>100</v>
      </c>
      <c r="X33" s="1553"/>
      <c r="Y33" s="3470"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70"/>
      <c r="Q34" s="1590" t="str">
        <f t="shared" si="11"/>
        <v>项目建筑规模</v>
      </c>
      <c r="R34" s="1563" t="s">
        <v>8</v>
      </c>
      <c r="S34" s="1564" t="e">
        <f t="shared" si="12"/>
        <v>#N/A</v>
      </c>
      <c r="T34" s="1563" t="s">
        <v>8</v>
      </c>
      <c r="U34" s="1564" t="e">
        <f t="shared" si="13"/>
        <v>#N/A</v>
      </c>
      <c r="V34" s="1563" t="s">
        <v>8</v>
      </c>
      <c r="W34" s="1564" t="e">
        <f t="shared" si="14"/>
        <v>#N/A</v>
      </c>
      <c r="X34" s="1565"/>
      <c r="Y34" s="347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70"/>
      <c r="Q35" s="1558" t="str">
        <f t="shared" si="11"/>
        <v>建筑结构</v>
      </c>
      <c r="R35" s="1559" t="s">
        <v>8</v>
      </c>
      <c r="S35" s="1560">
        <f t="shared" si="12"/>
        <v>100</v>
      </c>
      <c r="T35" s="1559" t="s">
        <v>8</v>
      </c>
      <c r="U35" s="1560">
        <f t="shared" si="13"/>
        <v>100</v>
      </c>
      <c r="V35" s="1559" t="s">
        <v>8</v>
      </c>
      <c r="W35" s="1560">
        <f t="shared" si="14"/>
        <v>100</v>
      </c>
      <c r="X35" s="1553"/>
      <c r="Y35" s="347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70"/>
      <c r="Q36" s="1558" t="str">
        <f t="shared" si="11"/>
        <v>公共部分装修</v>
      </c>
      <c r="R36" s="1559" t="s">
        <v>8</v>
      </c>
      <c r="S36" s="1560">
        <f t="shared" si="12"/>
        <v>100</v>
      </c>
      <c r="T36" s="1559" t="s">
        <v>8</v>
      </c>
      <c r="U36" s="1560">
        <f t="shared" si="13"/>
        <v>100</v>
      </c>
      <c r="V36" s="1559" t="s">
        <v>8</v>
      </c>
      <c r="W36" s="1560">
        <f t="shared" si="14"/>
        <v>100</v>
      </c>
      <c r="X36" s="1553"/>
      <c r="Y36" s="3470"/>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70"/>
      <c r="Q37" s="1558" t="str">
        <f t="shared" si="11"/>
        <v>成新度</v>
      </c>
      <c r="R37" s="1559" t="s">
        <v>8</v>
      </c>
      <c r="S37" s="1560" t="e">
        <f t="shared" si="12"/>
        <v>#N/A</v>
      </c>
      <c r="T37" s="1559" t="s">
        <v>8</v>
      </c>
      <c r="U37" s="1560" t="e">
        <f t="shared" si="13"/>
        <v>#N/A</v>
      </c>
      <c r="V37" s="1559" t="s">
        <v>8</v>
      </c>
      <c r="W37" s="1560" t="e">
        <f t="shared" si="14"/>
        <v>#N/A</v>
      </c>
      <c r="X37" s="1553"/>
      <c r="Y37" s="3470"/>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70"/>
      <c r="Q38" s="1147" t="str">
        <f t="shared" si="11"/>
        <v>写字楼等级</v>
      </c>
      <c r="R38" s="1554" t="s">
        <v>8</v>
      </c>
      <c r="S38" s="1555">
        <f t="shared" si="12"/>
        <v>100</v>
      </c>
      <c r="T38" s="1554" t="s">
        <v>8</v>
      </c>
      <c r="U38" s="1555">
        <f t="shared" si="13"/>
        <v>100</v>
      </c>
      <c r="V38" s="1554" t="s">
        <v>8</v>
      </c>
      <c r="W38" s="1555">
        <f t="shared" si="14"/>
        <v>100</v>
      </c>
      <c r="X38" s="1556"/>
      <c r="Y38" s="3470"/>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70" t="s">
        <v>550</v>
      </c>
      <c r="Q39" s="1558" t="str">
        <f t="shared" si="11"/>
        <v>物业管理</v>
      </c>
      <c r="R39" s="1559" t="s">
        <v>8</v>
      </c>
      <c r="S39" s="1560">
        <f t="shared" si="12"/>
        <v>100</v>
      </c>
      <c r="T39" s="1559" t="s">
        <v>8</v>
      </c>
      <c r="U39" s="1560">
        <f t="shared" si="13"/>
        <v>100</v>
      </c>
      <c r="V39" s="1559" t="s">
        <v>8</v>
      </c>
      <c r="W39" s="1560">
        <f t="shared" si="14"/>
        <v>100</v>
      </c>
      <c r="X39" s="1553"/>
      <c r="Y39" s="3470" t="s">
        <v>550</v>
      </c>
      <c r="Z39" s="1561" t="str">
        <f t="shared" si="15"/>
        <v>物业管理</v>
      </c>
      <c r="AA39" s="1562">
        <f t="shared" si="3"/>
        <v>1</v>
      </c>
      <c r="AB39" s="1562">
        <f t="shared" si="4"/>
        <v>1</v>
      </c>
      <c r="AC39" s="1562">
        <f t="shared" si="5"/>
        <v>1</v>
      </c>
    </row>
    <row r="40" spans="1:29" ht="15">
      <c r="A40" s="594"/>
      <c r="B40" s="1879"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70"/>
      <c r="Q40" s="1558" t="str">
        <f t="shared" si="11"/>
        <v>市政基础设施</v>
      </c>
      <c r="R40" s="1559" t="s">
        <v>8</v>
      </c>
      <c r="S40" s="1560">
        <f t="shared" si="12"/>
        <v>100</v>
      </c>
      <c r="T40" s="1559" t="s">
        <v>8</v>
      </c>
      <c r="U40" s="1560">
        <f t="shared" si="13"/>
        <v>100</v>
      </c>
      <c r="V40" s="1559" t="s">
        <v>8</v>
      </c>
      <c r="W40" s="1560">
        <f t="shared" si="14"/>
        <v>100</v>
      </c>
      <c r="X40" s="1553"/>
      <c r="Y40" s="347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70"/>
      <c r="Q41" s="1558" t="str">
        <f t="shared" si="11"/>
        <v>层高</v>
      </c>
      <c r="R41" s="1559" t="s">
        <v>8</v>
      </c>
      <c r="S41" s="1560">
        <f t="shared" si="12"/>
        <v>100</v>
      </c>
      <c r="T41" s="1559" t="s">
        <v>8</v>
      </c>
      <c r="U41" s="1560">
        <f t="shared" si="13"/>
        <v>100</v>
      </c>
      <c r="V41" s="1559" t="s">
        <v>8</v>
      </c>
      <c r="W41" s="1560">
        <f t="shared" si="14"/>
        <v>100</v>
      </c>
      <c r="X41" s="1553"/>
      <c r="Y41" s="3470"/>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70"/>
      <c r="Q42" s="1590" t="str">
        <f t="shared" si="11"/>
        <v>单套建筑面积</v>
      </c>
      <c r="R42" s="1563" t="s">
        <v>8</v>
      </c>
      <c r="S42" s="1564">
        <f t="shared" si="12"/>
        <v>100</v>
      </c>
      <c r="T42" s="1563" t="s">
        <v>8</v>
      </c>
      <c r="U42" s="1564">
        <f t="shared" si="13"/>
        <v>100</v>
      </c>
      <c r="V42" s="1563" t="s">
        <v>8</v>
      </c>
      <c r="W42" s="1564">
        <f t="shared" si="14"/>
        <v>100</v>
      </c>
      <c r="X42" s="1565"/>
      <c r="Y42" s="347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70"/>
      <c r="Q43" s="1558" t="str">
        <f t="shared" si="11"/>
        <v>内部装修</v>
      </c>
      <c r="R43" s="1559" t="s">
        <v>8</v>
      </c>
      <c r="S43" s="1560">
        <f t="shared" si="12"/>
        <v>100</v>
      </c>
      <c r="T43" s="1559" t="s">
        <v>8</v>
      </c>
      <c r="U43" s="1560">
        <f t="shared" si="13"/>
        <v>100</v>
      </c>
      <c r="V43" s="1559" t="s">
        <v>8</v>
      </c>
      <c r="W43" s="1560">
        <f t="shared" si="14"/>
        <v>100</v>
      </c>
      <c r="X43" s="1553"/>
      <c r="Y43" s="3470"/>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70"/>
      <c r="Q44" s="1558" t="str">
        <f t="shared" si="11"/>
        <v>内部装修维护情况</v>
      </c>
      <c r="R44" s="1559" t="s">
        <v>8</v>
      </c>
      <c r="S44" s="1560">
        <f t="shared" si="12"/>
        <v>100</v>
      </c>
      <c r="T44" s="1559" t="s">
        <v>8</v>
      </c>
      <c r="U44" s="1560">
        <f t="shared" si="13"/>
        <v>100</v>
      </c>
      <c r="V44" s="1559" t="s">
        <v>8</v>
      </c>
      <c r="W44" s="1560">
        <f t="shared" si="14"/>
        <v>100</v>
      </c>
      <c r="X44" s="1553"/>
      <c r="Y44" s="3470"/>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70"/>
      <c r="Q45" s="1147">
        <f t="shared" si="11"/>
        <v>111</v>
      </c>
      <c r="R45" s="1554" t="s">
        <v>8</v>
      </c>
      <c r="S45" s="1555">
        <f t="shared" si="12"/>
        <v>100</v>
      </c>
      <c r="T45" s="1554" t="s">
        <v>8</v>
      </c>
      <c r="U45" s="1555">
        <f t="shared" si="13"/>
        <v>100</v>
      </c>
      <c r="V45" s="1554" t="s">
        <v>8</v>
      </c>
      <c r="W45" s="1555">
        <f t="shared" si="14"/>
        <v>100</v>
      </c>
      <c r="X45" s="1556"/>
      <c r="Y45" s="3470"/>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70"/>
      <c r="Q46" s="1558">
        <f t="shared" si="11"/>
        <v>111</v>
      </c>
      <c r="R46" s="1559" t="s">
        <v>8</v>
      </c>
      <c r="S46" s="1560">
        <f t="shared" si="12"/>
        <v>100</v>
      </c>
      <c r="T46" s="1559" t="s">
        <v>8</v>
      </c>
      <c r="U46" s="1560">
        <f t="shared" si="13"/>
        <v>100</v>
      </c>
      <c r="V46" s="1559" t="s">
        <v>8</v>
      </c>
      <c r="W46" s="1560">
        <f t="shared" si="14"/>
        <v>100</v>
      </c>
      <c r="X46" s="1553"/>
      <c r="Y46" s="347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51"/>
      <c r="Q47" s="1558">
        <f t="shared" si="11"/>
        <v>111</v>
      </c>
      <c r="R47" s="1559" t="s">
        <v>8</v>
      </c>
      <c r="S47" s="1560">
        <f t="shared" si="12"/>
        <v>100</v>
      </c>
      <c r="T47" s="1559" t="s">
        <v>8</v>
      </c>
      <c r="U47" s="1560">
        <f t="shared" si="13"/>
        <v>100</v>
      </c>
      <c r="V47" s="1559" t="s">
        <v>8</v>
      </c>
      <c r="W47" s="1560">
        <f t="shared" si="14"/>
        <v>100</v>
      </c>
      <c r="X47" s="1553"/>
      <c r="Y47" s="3551"/>
      <c r="Z47" s="1561">
        <f t="shared" si="15"/>
        <v>111</v>
      </c>
      <c r="AA47" s="1562">
        <f t="shared" si="3"/>
        <v>1</v>
      </c>
      <c r="AB47" s="1562">
        <f t="shared" si="4"/>
        <v>1</v>
      </c>
      <c r="AC47" s="1562">
        <f t="shared" si="5"/>
        <v>1</v>
      </c>
    </row>
    <row r="48" spans="1:29" ht="15">
      <c r="A48" s="607" t="s">
        <v>736</v>
      </c>
      <c r="B48" s="887"/>
      <c r="C48" s="2590" t="s">
        <v>1</v>
      </c>
      <c r="D48" s="2591"/>
      <c r="E48" s="2592"/>
      <c r="F48" s="2593"/>
      <c r="G48" s="2594"/>
      <c r="H48" s="2595"/>
      <c r="I48" s="2592"/>
      <c r="J48" s="2595"/>
      <c r="K48" s="1596"/>
      <c r="L48" s="2128"/>
      <c r="M48" s="2118"/>
      <c r="N48" s="2118"/>
      <c r="O48" s="2118"/>
      <c r="P48" s="3431" t="str">
        <f>A48</f>
        <v>成交单价（元/平方米）</v>
      </c>
      <c r="Q48" s="3433"/>
      <c r="R48" s="3550">
        <f>E48</f>
        <v>0</v>
      </c>
      <c r="S48" s="3550"/>
      <c r="T48" s="3550">
        <f>G48</f>
        <v>0</v>
      </c>
      <c r="U48" s="3550"/>
      <c r="V48" s="3550">
        <f>I48</f>
        <v>0</v>
      </c>
      <c r="W48" s="3550"/>
      <c r="X48" s="1545"/>
      <c r="Y48" s="1567"/>
      <c r="Z48" s="1545"/>
      <c r="AA48" s="1545"/>
      <c r="AB48" s="1545"/>
      <c r="AC48" s="1545"/>
    </row>
    <row r="49" spans="1:29" ht="15.75" thickBot="1">
      <c r="A49" s="615" t="s">
        <v>2758</v>
      </c>
      <c r="B49" s="888"/>
      <c r="C49" s="2596" t="e">
        <f>R50</f>
        <v>#DIV/0!</v>
      </c>
      <c r="D49" s="2597"/>
      <c r="E49" s="2598" t="e">
        <f>R49</f>
        <v>#DIV/0!</v>
      </c>
      <c r="F49" s="2598"/>
      <c r="G49" s="2596" t="e">
        <f>T49</f>
        <v>#DIV/0!</v>
      </c>
      <c r="H49" s="2597"/>
      <c r="I49" s="2598" t="e">
        <f>V49</f>
        <v>#DIV/0!</v>
      </c>
      <c r="J49" s="2597"/>
      <c r="K49" s="1597"/>
      <c r="L49" s="2128"/>
      <c r="M49" s="2118"/>
      <c r="N49" s="2118"/>
      <c r="O49" s="2118"/>
      <c r="P49" s="3431" t="str">
        <f>A49</f>
        <v>比较价格（元/平方米）</v>
      </c>
      <c r="Q49" s="3433"/>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45"/>
      <c r="Y49" s="1545"/>
      <c r="Z49" s="1545"/>
      <c r="AA49" s="1545"/>
      <c r="AB49" s="1545"/>
      <c r="AC49" s="1545"/>
    </row>
    <row r="50" spans="1:29" ht="15.75" thickBot="1">
      <c r="A50" s="621" t="s">
        <v>2934</v>
      </c>
      <c r="B50" s="622"/>
      <c r="C50" s="2599" t="e">
        <f>R50</f>
        <v>#DIV/0!</v>
      </c>
      <c r="D50" s="2599"/>
      <c r="E50" s="2599"/>
      <c r="F50" s="2599"/>
      <c r="G50" s="2599"/>
      <c r="H50" s="2599"/>
      <c r="I50" s="2599"/>
      <c r="J50" s="2599"/>
      <c r="K50" s="1598"/>
      <c r="L50" s="2128"/>
      <c r="M50" s="2118"/>
      <c r="N50" s="2118"/>
      <c r="O50" s="2118"/>
      <c r="P50" s="3556" t="str">
        <f>A50</f>
        <v>估价对象XX用房的比较价格（楼面单价，元/平方米）</v>
      </c>
      <c r="Q50" s="3431"/>
      <c r="R50" s="3549" t="e">
        <f>IF(F1="售价",ROUND(AVERAGE(R49:V49),0),ROUND(AVERAGE(R49:V49),1))</f>
        <v>#DIV/0!</v>
      </c>
      <c r="S50" s="3549"/>
      <c r="T50" s="3549"/>
      <c r="U50" s="3549"/>
      <c r="V50" s="3549"/>
      <c r="W50" s="3549"/>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2556</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2555</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521</v>
      </c>
      <c r="B4" s="513"/>
      <c r="C4" s="3439" t="s">
        <v>522</v>
      </c>
      <c r="D4" s="3440"/>
      <c r="E4" s="3473" t="s">
        <v>523</v>
      </c>
      <c r="F4" s="3474"/>
      <c r="G4" s="3439" t="s">
        <v>524</v>
      </c>
      <c r="H4" s="3440"/>
      <c r="I4" s="3439" t="s">
        <v>525</v>
      </c>
      <c r="J4" s="3440"/>
      <c r="K4" s="514" t="s">
        <v>526</v>
      </c>
      <c r="L4" s="2117"/>
      <c r="M4" s="2118"/>
      <c r="N4" s="2118"/>
      <c r="O4" s="2118"/>
      <c r="P4" s="3441" t="s">
        <v>527</v>
      </c>
      <c r="Q4" s="3442"/>
      <c r="R4" s="3447" t="s">
        <v>523</v>
      </c>
      <c r="S4" s="3448"/>
      <c r="T4" s="3447" t="s">
        <v>524</v>
      </c>
      <c r="U4" s="3448"/>
      <c r="V4" s="3434" t="s">
        <v>525</v>
      </c>
      <c r="W4" s="3434"/>
      <c r="X4" s="1553"/>
      <c r="Y4" s="3447" t="s">
        <v>527</v>
      </c>
      <c r="Z4" s="3448"/>
      <c r="AA4" s="3436" t="s">
        <v>523</v>
      </c>
      <c r="AB4" s="3437" t="s">
        <v>524</v>
      </c>
      <c r="AC4" s="3436" t="s">
        <v>525</v>
      </c>
    </row>
    <row r="5" spans="1:29" ht="15">
      <c r="A5" s="515"/>
      <c r="B5" s="516"/>
      <c r="C5" s="3455" t="s">
        <v>2928</v>
      </c>
      <c r="D5" s="3456"/>
      <c r="E5" s="3475" t="s">
        <v>2929</v>
      </c>
      <c r="F5" s="3476"/>
      <c r="G5" s="3455" t="s">
        <v>2930</v>
      </c>
      <c r="H5" s="3456"/>
      <c r="I5" s="3455" t="s">
        <v>2931</v>
      </c>
      <c r="J5" s="3456"/>
      <c r="K5" s="514"/>
      <c r="L5" s="2117"/>
      <c r="M5" s="2118"/>
      <c r="N5" s="2118"/>
      <c r="O5" s="2118"/>
      <c r="P5" s="3443"/>
      <c r="Q5" s="3444"/>
      <c r="R5" s="3449"/>
      <c r="S5" s="3450"/>
      <c r="T5" s="3449"/>
      <c r="U5" s="3450"/>
      <c r="V5" s="3434"/>
      <c r="W5" s="3434"/>
      <c r="X5" s="1553"/>
      <c r="Y5" s="3449"/>
      <c r="Z5" s="3450"/>
      <c r="AA5" s="3437"/>
      <c r="AB5" s="3437"/>
      <c r="AC5" s="3437"/>
    </row>
    <row r="6" spans="1:29" ht="15.75" thickBot="1">
      <c r="A6" s="517"/>
      <c r="B6" s="518"/>
      <c r="C6" s="3453" t="s">
        <v>2932</v>
      </c>
      <c r="D6" s="3454"/>
      <c r="E6" s="3471" t="s">
        <v>2932</v>
      </c>
      <c r="F6" s="3472"/>
      <c r="G6" s="3453" t="s">
        <v>2932</v>
      </c>
      <c r="H6" s="3454"/>
      <c r="I6" s="3453" t="s">
        <v>2932</v>
      </c>
      <c r="J6" s="3454"/>
      <c r="K6" s="514" t="s">
        <v>528</v>
      </c>
      <c r="L6" s="2117"/>
      <c r="M6" s="2118"/>
      <c r="N6" s="2118"/>
      <c r="O6" s="2118"/>
      <c r="P6" s="3445"/>
      <c r="Q6" s="3446"/>
      <c r="R6" s="3449"/>
      <c r="S6" s="3450"/>
      <c r="T6" s="3451"/>
      <c r="U6" s="3452"/>
      <c r="V6" s="3434"/>
      <c r="W6" s="3434"/>
      <c r="X6" s="1553"/>
      <c r="Y6" s="3451"/>
      <c r="Z6" s="3452"/>
      <c r="AA6" s="3438"/>
      <c r="AB6" s="3438"/>
      <c r="AC6" s="3438"/>
    </row>
    <row r="7" spans="1:29" s="1216" customFormat="1" ht="15.75" thickBot="1">
      <c r="A7" s="2866"/>
      <c r="B7" s="2873" t="s">
        <v>529</v>
      </c>
      <c r="C7" s="519">
        <f>'数据-取费表'!B2</f>
        <v>43565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64" t="s">
        <v>530</v>
      </c>
      <c r="Q7" s="3466"/>
      <c r="R7" s="1554" t="s">
        <v>8</v>
      </c>
      <c r="S7" s="1555">
        <f t="shared" ref="S7:S15" si="0">F7</f>
        <v>0</v>
      </c>
      <c r="T7" s="1554" t="s">
        <v>8</v>
      </c>
      <c r="U7" s="1555">
        <f t="shared" ref="U7:U15" si="1">H7</f>
        <v>0</v>
      </c>
      <c r="V7" s="1554" t="s">
        <v>8</v>
      </c>
      <c r="W7" s="1555">
        <f t="shared" ref="W7:W15" si="2">J7</f>
        <v>0</v>
      </c>
      <c r="X7" s="1556"/>
      <c r="Y7" s="3464" t="s">
        <v>530</v>
      </c>
      <c r="Z7" s="3465"/>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64" t="s">
        <v>533</v>
      </c>
      <c r="Q8" s="3465"/>
      <c r="R8" s="1554" t="s">
        <v>8</v>
      </c>
      <c r="S8" s="1555">
        <f t="shared" si="0"/>
        <v>0</v>
      </c>
      <c r="T8" s="1554" t="s">
        <v>8</v>
      </c>
      <c r="U8" s="1555">
        <f t="shared" si="1"/>
        <v>0</v>
      </c>
      <c r="V8" s="1554" t="s">
        <v>8</v>
      </c>
      <c r="W8" s="1555">
        <f t="shared" si="2"/>
        <v>0</v>
      </c>
      <c r="X8" s="1556"/>
      <c r="Y8" s="3464" t="s">
        <v>533</v>
      </c>
      <c r="Z8" s="3465"/>
      <c r="AA8" s="1557" t="e">
        <f t="shared" ref="AA8:AA40" si="3">D8/F8</f>
        <v>#DIV/0!</v>
      </c>
      <c r="AB8" s="1557" t="e">
        <f t="shared" ref="AB8:AB40" si="4">D8/H8</f>
        <v>#DIV/0!</v>
      </c>
      <c r="AC8" s="1557"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33" t="s">
        <v>535</v>
      </c>
      <c r="Q9" s="1147" t="str">
        <f t="shared" ref="Q9:Q15" si="6">B9</f>
        <v>用途</v>
      </c>
      <c r="R9" s="1554" t="s">
        <v>8</v>
      </c>
      <c r="S9" s="1555">
        <f t="shared" si="0"/>
        <v>100</v>
      </c>
      <c r="T9" s="1554" t="s">
        <v>8</v>
      </c>
      <c r="U9" s="1555">
        <f t="shared" si="1"/>
        <v>100</v>
      </c>
      <c r="V9" s="1554" t="s">
        <v>8</v>
      </c>
      <c r="W9" s="1555">
        <f t="shared" si="2"/>
        <v>100</v>
      </c>
      <c r="X9" s="1556"/>
      <c r="Y9" s="3379"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33"/>
      <c r="Q11" s="1147" t="str">
        <f t="shared" si="6"/>
        <v>容积率</v>
      </c>
      <c r="R11" s="1554" t="s">
        <v>8</v>
      </c>
      <c r="S11" s="1555" t="e">
        <f t="shared" si="0"/>
        <v>#N/A</v>
      </c>
      <c r="T11" s="1554" t="s">
        <v>8</v>
      </c>
      <c r="U11" s="1555" t="e">
        <f t="shared" si="1"/>
        <v>#N/A</v>
      </c>
      <c r="V11" s="1554" t="s">
        <v>8</v>
      </c>
      <c r="W11" s="1555" t="e">
        <f t="shared" si="2"/>
        <v>#N/A</v>
      </c>
      <c r="X11" s="1556"/>
      <c r="Y11" s="3379"/>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33"/>
      <c r="Q12" s="1147">
        <f t="shared" si="6"/>
        <v>111</v>
      </c>
      <c r="R12" s="1554" t="s">
        <v>8</v>
      </c>
      <c r="S12" s="1555">
        <f t="shared" si="0"/>
        <v>100</v>
      </c>
      <c r="T12" s="1554" t="s">
        <v>8</v>
      </c>
      <c r="U12" s="1555">
        <f t="shared" si="1"/>
        <v>100</v>
      </c>
      <c r="V12" s="1554" t="s">
        <v>8</v>
      </c>
      <c r="W12" s="1555">
        <f t="shared" si="2"/>
        <v>100</v>
      </c>
      <c r="X12" s="1556"/>
      <c r="Y12" s="3379"/>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33"/>
      <c r="Q13" s="1147">
        <f t="shared" si="6"/>
        <v>111</v>
      </c>
      <c r="R13" s="1554" t="s">
        <v>8</v>
      </c>
      <c r="S13" s="1555">
        <f t="shared" si="0"/>
        <v>100</v>
      </c>
      <c r="T13" s="1554" t="s">
        <v>8</v>
      </c>
      <c r="U13" s="1555">
        <f t="shared" si="1"/>
        <v>100</v>
      </c>
      <c r="V13" s="1554" t="s">
        <v>8</v>
      </c>
      <c r="W13" s="1555">
        <f t="shared" si="2"/>
        <v>100</v>
      </c>
      <c r="X13" s="1556"/>
      <c r="Y13" s="3379"/>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33"/>
      <c r="Q14" s="1147">
        <f t="shared" si="6"/>
        <v>111</v>
      </c>
      <c r="R14" s="1554" t="s">
        <v>8</v>
      </c>
      <c r="S14" s="1555">
        <f t="shared" si="0"/>
        <v>100</v>
      </c>
      <c r="T14" s="1554" t="s">
        <v>8</v>
      </c>
      <c r="U14" s="1555">
        <f t="shared" si="1"/>
        <v>100</v>
      </c>
      <c r="V14" s="1554" t="s">
        <v>8</v>
      </c>
      <c r="W14" s="1555">
        <f t="shared" si="2"/>
        <v>100</v>
      </c>
      <c r="X14" s="1556"/>
      <c r="Y14" s="3379"/>
      <c r="Z14" s="1146">
        <f t="shared" si="7"/>
        <v>111</v>
      </c>
      <c r="AA14" s="1557">
        <f t="shared" si="3"/>
        <v>1</v>
      </c>
      <c r="AB14" s="1557">
        <f t="shared" si="4"/>
        <v>1</v>
      </c>
      <c r="AC14" s="1557">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67" t="s">
        <v>540</v>
      </c>
      <c r="Q15" s="1558" t="str">
        <f t="shared" si="6"/>
        <v>产业集聚程度</v>
      </c>
      <c r="R15" s="1559" t="s">
        <v>8</v>
      </c>
      <c r="S15" s="1560">
        <f t="shared" si="0"/>
        <v>100</v>
      </c>
      <c r="T15" s="1559" t="s">
        <v>8</v>
      </c>
      <c r="U15" s="1560">
        <f t="shared" si="1"/>
        <v>100</v>
      </c>
      <c r="V15" s="1559" t="s">
        <v>8</v>
      </c>
      <c r="W15" s="1560">
        <f t="shared" si="2"/>
        <v>100</v>
      </c>
      <c r="X15" s="1553"/>
      <c r="Y15" s="346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68"/>
      <c r="Q16" s="1558"/>
      <c r="R16" s="1559"/>
      <c r="S16" s="1560"/>
      <c r="T16" s="1559"/>
      <c r="U16" s="1560"/>
      <c r="V16" s="1559"/>
      <c r="W16" s="1560"/>
      <c r="X16" s="1553"/>
      <c r="Y16" s="346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68"/>
      <c r="Q17" s="1558" t="str">
        <f>B17</f>
        <v>交通便捷度</v>
      </c>
      <c r="R17" s="1559" t="s">
        <v>8</v>
      </c>
      <c r="S17" s="1560">
        <f>F17</f>
        <v>100</v>
      </c>
      <c r="T17" s="1559" t="s">
        <v>8</v>
      </c>
      <c r="U17" s="1560">
        <f>H17</f>
        <v>100</v>
      </c>
      <c r="V17" s="1559" t="s">
        <v>8</v>
      </c>
      <c r="W17" s="1560">
        <f>J17</f>
        <v>100</v>
      </c>
      <c r="X17" s="1553"/>
      <c r="Y17" s="346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68"/>
      <c r="Q18" s="1558"/>
      <c r="R18" s="1559"/>
      <c r="S18" s="1560"/>
      <c r="T18" s="1559"/>
      <c r="U18" s="1560"/>
      <c r="V18" s="1559"/>
      <c r="W18" s="1560"/>
      <c r="X18" s="1553"/>
      <c r="Y18" s="3468"/>
      <c r="Z18" s="1561"/>
      <c r="AA18" s="1562">
        <v>1</v>
      </c>
      <c r="AB18" s="1562">
        <v>1</v>
      </c>
      <c r="AC18" s="1562">
        <v>1</v>
      </c>
    </row>
    <row r="19" spans="1:29" ht="42.75">
      <c r="A19" s="532"/>
      <c r="B19" s="2566"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68"/>
      <c r="Q19" s="1558" t="str">
        <f>B19</f>
        <v>公共配套设施</v>
      </c>
      <c r="R19" s="1559" t="s">
        <v>8</v>
      </c>
      <c r="S19" s="1560">
        <f>F19</f>
        <v>100</v>
      </c>
      <c r="T19" s="1559" t="s">
        <v>8</v>
      </c>
      <c r="U19" s="1560">
        <f>H19</f>
        <v>100</v>
      </c>
      <c r="V19" s="1559" t="s">
        <v>8</v>
      </c>
      <c r="W19" s="1560">
        <f>J19</f>
        <v>100</v>
      </c>
      <c r="X19" s="1553"/>
      <c r="Y19" s="346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68"/>
      <c r="Q20" s="1558"/>
      <c r="R20" s="1559"/>
      <c r="S20" s="1560"/>
      <c r="T20" s="1559"/>
      <c r="U20" s="1560"/>
      <c r="V20" s="1559"/>
      <c r="W20" s="1560"/>
      <c r="X20" s="1553"/>
      <c r="Y20" s="3468"/>
      <c r="Z20" s="1561"/>
      <c r="AA20" s="1562">
        <v>1</v>
      </c>
      <c r="AB20" s="1562">
        <v>1</v>
      </c>
      <c r="AC20" s="1562">
        <v>1</v>
      </c>
    </row>
    <row r="21" spans="1:29" ht="28.5">
      <c r="A21" s="532"/>
      <c r="B21" s="2554"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68"/>
      <c r="Q21" s="2542" t="str">
        <f>B21</f>
        <v>基础设施水平</v>
      </c>
      <c r="R21" s="1559" t="s">
        <v>8</v>
      </c>
      <c r="S21" s="1560">
        <f>F21</f>
        <v>100</v>
      </c>
      <c r="T21" s="1559" t="s">
        <v>8</v>
      </c>
      <c r="U21" s="1560">
        <f>H21</f>
        <v>100</v>
      </c>
      <c r="V21" s="1559" t="s">
        <v>8</v>
      </c>
      <c r="W21" s="1560">
        <f>J21</f>
        <v>100</v>
      </c>
      <c r="X21" s="2544"/>
      <c r="Y21" s="3468"/>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68"/>
      <c r="Q22" s="2542"/>
      <c r="R22" s="1559"/>
      <c r="S22" s="1560"/>
      <c r="T22" s="1559"/>
      <c r="U22" s="1560"/>
      <c r="V22" s="1559"/>
      <c r="W22" s="1560"/>
      <c r="X22" s="2544"/>
      <c r="Y22" s="3468"/>
      <c r="Z22" s="2543"/>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68"/>
      <c r="Q23" s="1558" t="str">
        <f>B23</f>
        <v>环境质量</v>
      </c>
      <c r="R23" s="1559" t="s">
        <v>8</v>
      </c>
      <c r="S23" s="1560">
        <f>F23</f>
        <v>100</v>
      </c>
      <c r="T23" s="1559" t="s">
        <v>8</v>
      </c>
      <c r="U23" s="1560">
        <f>H23</f>
        <v>100</v>
      </c>
      <c r="V23" s="1559" t="s">
        <v>8</v>
      </c>
      <c r="W23" s="1560">
        <f>J23</f>
        <v>100</v>
      </c>
      <c r="X23" s="1553"/>
      <c r="Y23" s="346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68"/>
      <c r="Q24" s="1558"/>
      <c r="R24" s="1559"/>
      <c r="S24" s="1560"/>
      <c r="T24" s="1559"/>
      <c r="U24" s="1560"/>
      <c r="V24" s="1559"/>
      <c r="W24" s="1560"/>
      <c r="X24" s="1553"/>
      <c r="Y24" s="346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68"/>
      <c r="Q25" s="1558">
        <f>B25</f>
        <v>111</v>
      </c>
      <c r="R25" s="1559" t="s">
        <v>8</v>
      </c>
      <c r="S25" s="1560">
        <f>F25</f>
        <v>100</v>
      </c>
      <c r="T25" s="1559" t="s">
        <v>8</v>
      </c>
      <c r="U25" s="1560">
        <f>H25</f>
        <v>100</v>
      </c>
      <c r="V25" s="1559" t="s">
        <v>8</v>
      </c>
      <c r="W25" s="1560">
        <f>J25</f>
        <v>100</v>
      </c>
      <c r="X25" s="1553"/>
      <c r="Y25" s="346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68"/>
      <c r="Q26" s="1558">
        <f t="shared" ref="Q26:Q40" si="11">B26</f>
        <v>111</v>
      </c>
      <c r="R26" s="1559" t="s">
        <v>8</v>
      </c>
      <c r="S26" s="1560">
        <f>F26</f>
        <v>100</v>
      </c>
      <c r="T26" s="1559" t="s">
        <v>8</v>
      </c>
      <c r="U26" s="1560">
        <f>H26</f>
        <v>100</v>
      </c>
      <c r="V26" s="1559" t="s">
        <v>8</v>
      </c>
      <c r="W26" s="1560">
        <f>J26</f>
        <v>100</v>
      </c>
      <c r="X26" s="1553"/>
      <c r="Y26" s="346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68"/>
      <c r="Q27" s="1147">
        <f t="shared" si="11"/>
        <v>111</v>
      </c>
      <c r="R27" s="1554" t="s">
        <v>8</v>
      </c>
      <c r="S27" s="1555">
        <f>F27</f>
        <v>100</v>
      </c>
      <c r="T27" s="1554" t="s">
        <v>8</v>
      </c>
      <c r="U27" s="1555">
        <f>H27</f>
        <v>100</v>
      </c>
      <c r="V27" s="1554" t="s">
        <v>8</v>
      </c>
      <c r="W27" s="1555">
        <f>J27</f>
        <v>100</v>
      </c>
      <c r="X27" s="1556"/>
      <c r="Y27" s="346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68"/>
      <c r="Q28" s="1558">
        <f t="shared" si="11"/>
        <v>111</v>
      </c>
      <c r="R28" s="1559" t="s">
        <v>8</v>
      </c>
      <c r="S28" s="1560">
        <f t="shared" ref="S28:S40" si="12">F28</f>
        <v>100</v>
      </c>
      <c r="T28" s="1559" t="s">
        <v>8</v>
      </c>
      <c r="U28" s="1560">
        <f t="shared" ref="U28:U40" si="13">H28</f>
        <v>100</v>
      </c>
      <c r="V28" s="1559" t="s">
        <v>8</v>
      </c>
      <c r="W28" s="1560">
        <f t="shared" ref="W28:W40" si="14">J28</f>
        <v>100</v>
      </c>
      <c r="X28" s="1553"/>
      <c r="Y28" s="3468"/>
      <c r="Z28" s="1561">
        <f t="shared" ref="Z28:Z40" si="15">Q28</f>
        <v>111</v>
      </c>
      <c r="AA28" s="1562">
        <f t="shared" si="3"/>
        <v>1</v>
      </c>
      <c r="AB28" s="1562">
        <f t="shared" si="4"/>
        <v>1</v>
      </c>
      <c r="AC28" s="1562">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69" t="s">
        <v>550</v>
      </c>
      <c r="Q29" s="1558" t="str">
        <f t="shared" si="11"/>
        <v>建筑类型</v>
      </c>
      <c r="R29" s="1559" t="s">
        <v>8</v>
      </c>
      <c r="S29" s="1560">
        <f t="shared" si="12"/>
        <v>100</v>
      </c>
      <c r="T29" s="1559" t="s">
        <v>8</v>
      </c>
      <c r="U29" s="1560">
        <f t="shared" si="13"/>
        <v>100</v>
      </c>
      <c r="V29" s="1559" t="s">
        <v>8</v>
      </c>
      <c r="W29" s="1560">
        <f t="shared" si="14"/>
        <v>100</v>
      </c>
      <c r="X29" s="1553"/>
      <c r="Y29" s="3470"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70"/>
      <c r="Q30" s="1590" t="str">
        <f t="shared" si="11"/>
        <v>项目建筑规模</v>
      </c>
      <c r="R30" s="1563" t="s">
        <v>8</v>
      </c>
      <c r="S30" s="1564" t="e">
        <f t="shared" si="12"/>
        <v>#N/A</v>
      </c>
      <c r="T30" s="1563" t="s">
        <v>8</v>
      </c>
      <c r="U30" s="1564" t="e">
        <f t="shared" si="13"/>
        <v>#N/A</v>
      </c>
      <c r="V30" s="1563" t="s">
        <v>8</v>
      </c>
      <c r="W30" s="1564" t="e">
        <f t="shared" si="14"/>
        <v>#N/A</v>
      </c>
      <c r="X30" s="1565"/>
      <c r="Y30" s="347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70"/>
      <c r="Q31" s="1558" t="str">
        <f t="shared" si="11"/>
        <v>建筑结构</v>
      </c>
      <c r="R31" s="1559" t="s">
        <v>8</v>
      </c>
      <c r="S31" s="1560">
        <f t="shared" si="12"/>
        <v>100</v>
      </c>
      <c r="T31" s="1559" t="s">
        <v>8</v>
      </c>
      <c r="U31" s="1560">
        <f t="shared" si="13"/>
        <v>100</v>
      </c>
      <c r="V31" s="1559" t="s">
        <v>8</v>
      </c>
      <c r="W31" s="1560">
        <f t="shared" si="14"/>
        <v>100</v>
      </c>
      <c r="X31" s="1553"/>
      <c r="Y31" s="347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70"/>
      <c r="Q32" s="1558" t="str">
        <f t="shared" si="11"/>
        <v>公共部分装修</v>
      </c>
      <c r="R32" s="1559" t="s">
        <v>8</v>
      </c>
      <c r="S32" s="1560">
        <f t="shared" si="12"/>
        <v>100</v>
      </c>
      <c r="T32" s="1559" t="s">
        <v>8</v>
      </c>
      <c r="U32" s="1560">
        <f t="shared" si="13"/>
        <v>100</v>
      </c>
      <c r="V32" s="1559" t="s">
        <v>8</v>
      </c>
      <c r="W32" s="1560">
        <f t="shared" si="14"/>
        <v>100</v>
      </c>
      <c r="X32" s="1553"/>
      <c r="Y32" s="3470"/>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70"/>
      <c r="Q33" s="1558" t="str">
        <f t="shared" si="11"/>
        <v>成新度</v>
      </c>
      <c r="R33" s="1559" t="s">
        <v>8</v>
      </c>
      <c r="S33" s="1560" t="e">
        <f t="shared" si="12"/>
        <v>#N/A</v>
      </c>
      <c r="T33" s="1559" t="s">
        <v>8</v>
      </c>
      <c r="U33" s="1560" t="e">
        <f t="shared" si="13"/>
        <v>#N/A</v>
      </c>
      <c r="V33" s="1559" t="s">
        <v>8</v>
      </c>
      <c r="W33" s="1560" t="e">
        <f t="shared" si="14"/>
        <v>#N/A</v>
      </c>
      <c r="X33" s="1553"/>
      <c r="Y33" s="3470"/>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70"/>
      <c r="Q34" s="1147" t="str">
        <f t="shared" si="11"/>
        <v>物业管理</v>
      </c>
      <c r="R34" s="1554" t="s">
        <v>8</v>
      </c>
      <c r="S34" s="1555">
        <f t="shared" si="12"/>
        <v>100</v>
      </c>
      <c r="T34" s="1554" t="s">
        <v>8</v>
      </c>
      <c r="U34" s="1555">
        <f t="shared" si="13"/>
        <v>100</v>
      </c>
      <c r="V34" s="1554" t="s">
        <v>8</v>
      </c>
      <c r="W34" s="1555">
        <f t="shared" si="14"/>
        <v>100</v>
      </c>
      <c r="X34" s="1556"/>
      <c r="Y34" s="3470"/>
      <c r="Z34" s="1146" t="str">
        <f t="shared" si="15"/>
        <v>物业管理</v>
      </c>
      <c r="AA34" s="1557">
        <f t="shared" si="3"/>
        <v>1</v>
      </c>
      <c r="AB34" s="1557">
        <f t="shared" si="4"/>
        <v>1</v>
      </c>
      <c r="AC34" s="1557">
        <f t="shared" si="5"/>
        <v>1</v>
      </c>
    </row>
    <row r="35" spans="1:29" ht="15">
      <c r="A35" s="594"/>
      <c r="B35" s="1879"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70" t="s">
        <v>550</v>
      </c>
      <c r="Q35" s="1558" t="str">
        <f t="shared" si="11"/>
        <v>市政基础设施</v>
      </c>
      <c r="R35" s="1559" t="s">
        <v>8</v>
      </c>
      <c r="S35" s="1560">
        <f t="shared" si="12"/>
        <v>100</v>
      </c>
      <c r="T35" s="1559" t="s">
        <v>8</v>
      </c>
      <c r="U35" s="1560">
        <f t="shared" si="13"/>
        <v>100</v>
      </c>
      <c r="V35" s="1559" t="s">
        <v>8</v>
      </c>
      <c r="W35" s="1560">
        <f t="shared" si="14"/>
        <v>100</v>
      </c>
      <c r="X35" s="1553"/>
      <c r="Y35" s="347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70"/>
      <c r="Q36" s="1558" t="str">
        <f t="shared" si="11"/>
        <v>内部装修</v>
      </c>
      <c r="R36" s="1559" t="s">
        <v>8</v>
      </c>
      <c r="S36" s="1560">
        <f t="shared" si="12"/>
        <v>100</v>
      </c>
      <c r="T36" s="1559" t="s">
        <v>8</v>
      </c>
      <c r="U36" s="1560">
        <f t="shared" si="13"/>
        <v>100</v>
      </c>
      <c r="V36" s="1559" t="s">
        <v>8</v>
      </c>
      <c r="W36" s="1560">
        <f t="shared" si="14"/>
        <v>100</v>
      </c>
      <c r="X36" s="1553"/>
      <c r="Y36" s="347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70"/>
      <c r="Q37" s="1558" t="str">
        <f t="shared" si="11"/>
        <v>内部装修状况</v>
      </c>
      <c r="R37" s="1559" t="s">
        <v>8</v>
      </c>
      <c r="S37" s="1560">
        <f t="shared" si="12"/>
        <v>100</v>
      </c>
      <c r="T37" s="1559" t="s">
        <v>8</v>
      </c>
      <c r="U37" s="1560">
        <f t="shared" si="13"/>
        <v>100</v>
      </c>
      <c r="V37" s="1559" t="s">
        <v>8</v>
      </c>
      <c r="W37" s="1560">
        <f t="shared" si="14"/>
        <v>100</v>
      </c>
      <c r="X37" s="1553"/>
      <c r="Y37" s="347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70"/>
      <c r="Q38" s="1590">
        <f t="shared" si="11"/>
        <v>111</v>
      </c>
      <c r="R38" s="1563" t="s">
        <v>8</v>
      </c>
      <c r="S38" s="1564">
        <f t="shared" si="12"/>
        <v>100</v>
      </c>
      <c r="T38" s="1563" t="s">
        <v>8</v>
      </c>
      <c r="U38" s="1564">
        <f t="shared" si="13"/>
        <v>100</v>
      </c>
      <c r="V38" s="1563" t="s">
        <v>8</v>
      </c>
      <c r="W38" s="1564">
        <f t="shared" si="14"/>
        <v>100</v>
      </c>
      <c r="X38" s="1565"/>
      <c r="Y38" s="347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70"/>
      <c r="Q39" s="1558">
        <f t="shared" si="11"/>
        <v>111</v>
      </c>
      <c r="R39" s="1559" t="s">
        <v>8</v>
      </c>
      <c r="S39" s="1560">
        <f t="shared" si="12"/>
        <v>100</v>
      </c>
      <c r="T39" s="1559" t="s">
        <v>8</v>
      </c>
      <c r="U39" s="1560">
        <f t="shared" si="13"/>
        <v>100</v>
      </c>
      <c r="V39" s="1559" t="s">
        <v>8</v>
      </c>
      <c r="W39" s="1560">
        <f t="shared" si="14"/>
        <v>100</v>
      </c>
      <c r="X39" s="1553"/>
      <c r="Y39" s="347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51"/>
      <c r="Q40" s="1558">
        <f t="shared" si="11"/>
        <v>111</v>
      </c>
      <c r="R40" s="1559" t="s">
        <v>8</v>
      </c>
      <c r="S40" s="1560">
        <f t="shared" si="12"/>
        <v>100</v>
      </c>
      <c r="T40" s="1559" t="s">
        <v>8</v>
      </c>
      <c r="U40" s="1560">
        <f t="shared" si="13"/>
        <v>100</v>
      </c>
      <c r="V40" s="1559" t="s">
        <v>8</v>
      </c>
      <c r="W40" s="1560">
        <f t="shared" si="14"/>
        <v>100</v>
      </c>
      <c r="X40" s="1553"/>
      <c r="Y40" s="3551"/>
      <c r="Z40" s="1561">
        <f t="shared" si="15"/>
        <v>111</v>
      </c>
      <c r="AA40" s="1562">
        <f t="shared" si="3"/>
        <v>1</v>
      </c>
      <c r="AB40" s="1562">
        <f t="shared" si="4"/>
        <v>1</v>
      </c>
      <c r="AC40" s="1562">
        <f t="shared" si="5"/>
        <v>1</v>
      </c>
    </row>
    <row r="41" spans="1:29" ht="15">
      <c r="A41" s="607" t="s">
        <v>736</v>
      </c>
      <c r="B41" s="887"/>
      <c r="C41" s="2590" t="s">
        <v>1</v>
      </c>
      <c r="D41" s="2591"/>
      <c r="E41" s="2592"/>
      <c r="F41" s="2593"/>
      <c r="G41" s="2594"/>
      <c r="H41" s="2595"/>
      <c r="I41" s="2592"/>
      <c r="J41" s="2595"/>
      <c r="K41" s="1596"/>
      <c r="L41" s="2128"/>
      <c r="M41" s="2129"/>
      <c r="N41" s="2118"/>
      <c r="O41" s="2129"/>
      <c r="P41" s="3433" t="str">
        <f>A41</f>
        <v>成交单价（元/平方米）</v>
      </c>
      <c r="Q41" s="3433"/>
      <c r="R41" s="3550">
        <f>E41</f>
        <v>0</v>
      </c>
      <c r="S41" s="3550"/>
      <c r="T41" s="3550">
        <f>G41</f>
        <v>0</v>
      </c>
      <c r="U41" s="3550"/>
      <c r="V41" s="3550">
        <f>I41</f>
        <v>0</v>
      </c>
      <c r="W41" s="3550"/>
      <c r="X41" s="1545"/>
      <c r="Y41" s="1567"/>
      <c r="Z41" s="1545"/>
      <c r="AA41" s="1545"/>
      <c r="AB41" s="1545"/>
      <c r="AC41" s="1545"/>
    </row>
    <row r="42" spans="1:29" ht="15.75" thickBot="1">
      <c r="A42" s="615" t="s">
        <v>2758</v>
      </c>
      <c r="B42" s="888"/>
      <c r="C42" s="2596" t="e">
        <f>R43</f>
        <v>#DIV/0!</v>
      </c>
      <c r="D42" s="2597"/>
      <c r="E42" s="2598" t="e">
        <f>R42</f>
        <v>#DIV/0!</v>
      </c>
      <c r="F42" s="2598"/>
      <c r="G42" s="2596" t="e">
        <f>T42</f>
        <v>#DIV/0!</v>
      </c>
      <c r="H42" s="2597"/>
      <c r="I42" s="2598" t="e">
        <f>V42</f>
        <v>#DIV/0!</v>
      </c>
      <c r="J42" s="2597"/>
      <c r="K42" s="1597"/>
      <c r="L42" s="2128"/>
      <c r="M42" s="2129"/>
      <c r="N42" s="2118"/>
      <c r="O42" s="2129"/>
      <c r="P42" s="3433" t="str">
        <f>A42</f>
        <v>比较价格（元/平方米）</v>
      </c>
      <c r="Q42" s="3433"/>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45"/>
      <c r="Y42" s="1545"/>
      <c r="Z42" s="1545"/>
      <c r="AA42" s="1545"/>
      <c r="AB42" s="1545"/>
      <c r="AC42" s="1545"/>
    </row>
    <row r="43" spans="1:29" ht="15.75" thickBot="1">
      <c r="A43" s="621" t="s">
        <v>2934</v>
      </c>
      <c r="B43" s="622"/>
      <c r="C43" s="2599" t="e">
        <f>R43</f>
        <v>#DIV/0!</v>
      </c>
      <c r="D43" s="2599"/>
      <c r="E43" s="2599"/>
      <c r="F43" s="2599"/>
      <c r="G43" s="2599"/>
      <c r="H43" s="2599"/>
      <c r="I43" s="2599"/>
      <c r="J43" s="2599"/>
      <c r="K43" s="1598"/>
      <c r="L43" s="2128"/>
      <c r="M43" s="2129"/>
      <c r="N43" s="2129"/>
      <c r="O43" s="2129"/>
      <c r="P43" s="3430" t="str">
        <f>A43</f>
        <v>估价对象XX用房的比较价格（楼面单价，元/平方米）</v>
      </c>
      <c r="Q43" s="3431"/>
      <c r="R43" s="3549" t="e">
        <f>IF(F1="售价",ROUND(AVERAGE(R42:V42),0),ROUND(AVERAGE(R42:V42),1))</f>
        <v>#DIV/0!</v>
      </c>
      <c r="S43" s="3549"/>
      <c r="T43" s="3549"/>
      <c r="U43" s="3549"/>
      <c r="V43" s="3549"/>
      <c r="W43" s="3549"/>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2556</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2557</v>
      </c>
      <c r="C76" s="2561" t="s">
        <v>2558</v>
      </c>
      <c r="D76" s="2561" t="s">
        <v>2559</v>
      </c>
      <c r="E76" s="2561" t="s">
        <v>2560</v>
      </c>
      <c r="F76" s="2561" t="s">
        <v>2561</v>
      </c>
      <c r="G76" s="2561" t="s">
        <v>2562</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2555</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93.75">
      <c r="A7" s="2827" t="s">
        <v>2746</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39" t="s">
        <v>798</v>
      </c>
      <c r="D4" s="3440"/>
      <c r="E4" s="3439" t="s">
        <v>799</v>
      </c>
      <c r="F4" s="3440"/>
      <c r="G4" s="3439" t="s">
        <v>800</v>
      </c>
      <c r="H4" s="3440"/>
      <c r="I4" s="3439" t="s">
        <v>801</v>
      </c>
      <c r="J4" s="3440"/>
      <c r="K4" s="514" t="s">
        <v>802</v>
      </c>
      <c r="L4" s="2117"/>
      <c r="M4" s="2118"/>
      <c r="N4" s="2118"/>
      <c r="O4" s="2118"/>
      <c r="P4" s="3441" t="s">
        <v>803</v>
      </c>
      <c r="Q4" s="3442"/>
      <c r="R4" s="3447" t="s">
        <v>799</v>
      </c>
      <c r="S4" s="3448"/>
      <c r="T4" s="3447" t="s">
        <v>800</v>
      </c>
      <c r="U4" s="3448"/>
      <c r="V4" s="3434" t="s">
        <v>801</v>
      </c>
      <c r="W4" s="3434"/>
      <c r="X4" s="1553"/>
      <c r="Y4" s="3447" t="s">
        <v>803</v>
      </c>
      <c r="Z4" s="3448"/>
      <c r="AA4" s="3436" t="s">
        <v>799</v>
      </c>
      <c r="AB4" s="3437" t="s">
        <v>800</v>
      </c>
      <c r="AC4" s="3436" t="s">
        <v>801</v>
      </c>
    </row>
    <row r="5" spans="1:29" ht="15">
      <c r="A5" s="515"/>
      <c r="B5" s="516"/>
      <c r="C5" s="3455" t="s">
        <v>2928</v>
      </c>
      <c r="D5" s="3456"/>
      <c r="E5" s="3455" t="s">
        <v>2929</v>
      </c>
      <c r="F5" s="3456"/>
      <c r="G5" s="3455" t="s">
        <v>2930</v>
      </c>
      <c r="H5" s="3456"/>
      <c r="I5" s="3455" t="s">
        <v>2931</v>
      </c>
      <c r="J5" s="3456"/>
      <c r="K5" s="514"/>
      <c r="L5" s="2117"/>
      <c r="M5" s="2118"/>
      <c r="N5" s="2118"/>
      <c r="O5" s="2118"/>
      <c r="P5" s="3443"/>
      <c r="Q5" s="3444"/>
      <c r="R5" s="3449"/>
      <c r="S5" s="3450"/>
      <c r="T5" s="3449"/>
      <c r="U5" s="3450"/>
      <c r="V5" s="3434"/>
      <c r="W5" s="3434"/>
      <c r="X5" s="1553"/>
      <c r="Y5" s="3449"/>
      <c r="Z5" s="3450"/>
      <c r="AA5" s="3437"/>
      <c r="AB5" s="3437"/>
      <c r="AC5" s="3437"/>
    </row>
    <row r="6" spans="1:29" ht="15.75" thickBot="1">
      <c r="A6" s="517"/>
      <c r="B6" s="518"/>
      <c r="C6" s="3453" t="s">
        <v>2932</v>
      </c>
      <c r="D6" s="3454"/>
      <c r="E6" s="3457" t="s">
        <v>2932</v>
      </c>
      <c r="F6" s="3458"/>
      <c r="G6" s="3453" t="s">
        <v>2932</v>
      </c>
      <c r="H6" s="3454"/>
      <c r="I6" s="3453" t="s">
        <v>2932</v>
      </c>
      <c r="J6" s="3454"/>
      <c r="K6" s="514" t="s">
        <v>528</v>
      </c>
      <c r="L6" s="2117"/>
      <c r="M6" s="2118"/>
      <c r="N6" s="2118"/>
      <c r="O6" s="2118"/>
      <c r="P6" s="3445"/>
      <c r="Q6" s="3446"/>
      <c r="R6" s="3449"/>
      <c r="S6" s="3450"/>
      <c r="T6" s="3451"/>
      <c r="U6" s="3452"/>
      <c r="V6" s="3434"/>
      <c r="W6" s="3434"/>
      <c r="X6" s="1553"/>
      <c r="Y6" s="3451"/>
      <c r="Z6" s="3452"/>
      <c r="AA6" s="3438"/>
      <c r="AB6" s="3438"/>
      <c r="AC6" s="3438"/>
    </row>
    <row r="7" spans="1:29" s="1216" customFormat="1" ht="15.75" thickBot="1">
      <c r="A7" s="2866"/>
      <c r="B7" s="2873" t="s">
        <v>529</v>
      </c>
      <c r="C7" s="519">
        <f>'数据-取费表'!B2</f>
        <v>43565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64" t="s">
        <v>530</v>
      </c>
      <c r="Q7" s="3466"/>
      <c r="R7" s="1554" t="s">
        <v>8</v>
      </c>
      <c r="S7" s="1555">
        <f t="shared" ref="S7:S14" si="0">F7</f>
        <v>0</v>
      </c>
      <c r="T7" s="1554" t="s">
        <v>8</v>
      </c>
      <c r="U7" s="1555">
        <f t="shared" ref="U7:U14" si="1">H7</f>
        <v>0</v>
      </c>
      <c r="V7" s="1554" t="s">
        <v>8</v>
      </c>
      <c r="W7" s="1555">
        <f t="shared" ref="W7:W14" si="2">J7</f>
        <v>0</v>
      </c>
      <c r="X7" s="1556"/>
      <c r="Y7" s="3464" t="s">
        <v>530</v>
      </c>
      <c r="Z7" s="3465"/>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64" t="s">
        <v>533</v>
      </c>
      <c r="Q8" s="3465"/>
      <c r="R8" s="1554" t="s">
        <v>8</v>
      </c>
      <c r="S8" s="1555">
        <f t="shared" si="0"/>
        <v>0</v>
      </c>
      <c r="T8" s="1554" t="s">
        <v>8</v>
      </c>
      <c r="U8" s="1555">
        <f t="shared" si="1"/>
        <v>0</v>
      </c>
      <c r="V8" s="1554" t="s">
        <v>8</v>
      </c>
      <c r="W8" s="1555">
        <f t="shared" si="2"/>
        <v>0</v>
      </c>
      <c r="X8" s="1556"/>
      <c r="Y8" s="3464" t="s">
        <v>533</v>
      </c>
      <c r="Z8" s="3465"/>
      <c r="AA8" s="1557" t="e">
        <f t="shared" ref="AA8:AA36" si="3">D8/F8</f>
        <v>#DIV/0!</v>
      </c>
      <c r="AB8" s="1557" t="e">
        <f t="shared" ref="AB8:AB36" si="4">D8/H8</f>
        <v>#DIV/0!</v>
      </c>
      <c r="AC8" s="1557"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33" t="s">
        <v>535</v>
      </c>
      <c r="Q9" s="1147" t="str">
        <f t="shared" ref="Q9:Q14" si="6">B9</f>
        <v>用途</v>
      </c>
      <c r="R9" s="1554" t="s">
        <v>8</v>
      </c>
      <c r="S9" s="1555">
        <f t="shared" si="0"/>
        <v>100</v>
      </c>
      <c r="T9" s="1554" t="s">
        <v>8</v>
      </c>
      <c r="U9" s="1555">
        <f t="shared" si="1"/>
        <v>100</v>
      </c>
      <c r="V9" s="1554" t="s">
        <v>8</v>
      </c>
      <c r="W9" s="1555">
        <f t="shared" si="2"/>
        <v>100</v>
      </c>
      <c r="X9" s="1556"/>
      <c r="Y9" s="3379"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33"/>
      <c r="Q11" s="1147">
        <f t="shared" si="6"/>
        <v>111</v>
      </c>
      <c r="R11" s="1554" t="s">
        <v>8</v>
      </c>
      <c r="S11" s="1555">
        <f t="shared" si="0"/>
        <v>100</v>
      </c>
      <c r="T11" s="1554" t="s">
        <v>8</v>
      </c>
      <c r="U11" s="1555">
        <f t="shared" si="1"/>
        <v>100</v>
      </c>
      <c r="V11" s="1554" t="s">
        <v>8</v>
      </c>
      <c r="W11" s="1555">
        <f t="shared" si="2"/>
        <v>100</v>
      </c>
      <c r="X11" s="1556"/>
      <c r="Y11" s="3379"/>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33"/>
      <c r="Q12" s="1147">
        <f t="shared" si="6"/>
        <v>111</v>
      </c>
      <c r="R12" s="1554" t="s">
        <v>8</v>
      </c>
      <c r="S12" s="1555">
        <f t="shared" si="0"/>
        <v>100</v>
      </c>
      <c r="T12" s="1554" t="s">
        <v>8</v>
      </c>
      <c r="U12" s="1555">
        <f t="shared" si="1"/>
        <v>100</v>
      </c>
      <c r="V12" s="1554" t="s">
        <v>8</v>
      </c>
      <c r="W12" s="1555">
        <f t="shared" si="2"/>
        <v>100</v>
      </c>
      <c r="X12" s="1556"/>
      <c r="Y12" s="3379"/>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33"/>
      <c r="Q13" s="1147">
        <f t="shared" si="6"/>
        <v>111</v>
      </c>
      <c r="R13" s="1554" t="s">
        <v>8</v>
      </c>
      <c r="S13" s="1555">
        <f t="shared" si="0"/>
        <v>100</v>
      </c>
      <c r="T13" s="1554" t="s">
        <v>8</v>
      </c>
      <c r="U13" s="1555">
        <f t="shared" si="1"/>
        <v>100</v>
      </c>
      <c r="V13" s="1554" t="s">
        <v>8</v>
      </c>
      <c r="W13" s="1555">
        <f t="shared" si="2"/>
        <v>100</v>
      </c>
      <c r="X13" s="1556"/>
      <c r="Y13" s="3379"/>
      <c r="Z13" s="1146">
        <f t="shared" si="7"/>
        <v>111</v>
      </c>
      <c r="AA13" s="1557">
        <f t="shared" si="3"/>
        <v>1</v>
      </c>
      <c r="AB13" s="1557">
        <f t="shared" si="4"/>
        <v>1</v>
      </c>
      <c r="AC13" s="1557">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67" t="s">
        <v>540</v>
      </c>
      <c r="Q14" s="1558" t="str">
        <f t="shared" si="6"/>
        <v>交通便捷度</v>
      </c>
      <c r="R14" s="1559" t="s">
        <v>8</v>
      </c>
      <c r="S14" s="1560">
        <f t="shared" si="0"/>
        <v>100</v>
      </c>
      <c r="T14" s="1559" t="s">
        <v>8</v>
      </c>
      <c r="U14" s="1560">
        <f t="shared" si="1"/>
        <v>100</v>
      </c>
      <c r="V14" s="1559" t="s">
        <v>8</v>
      </c>
      <c r="W14" s="1560">
        <f t="shared" si="2"/>
        <v>100</v>
      </c>
      <c r="X14" s="1553"/>
      <c r="Y14" s="3467"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68"/>
      <c r="Q15" s="1558"/>
      <c r="R15" s="1559"/>
      <c r="S15" s="1560"/>
      <c r="T15" s="1559"/>
      <c r="U15" s="1560"/>
      <c r="V15" s="1559"/>
      <c r="W15" s="1560"/>
      <c r="X15" s="1553"/>
      <c r="Y15" s="3468"/>
      <c r="Z15" s="1561"/>
      <c r="AA15" s="1562">
        <v>1</v>
      </c>
      <c r="AB15" s="1562">
        <v>1</v>
      </c>
      <c r="AC15" s="1562">
        <v>1</v>
      </c>
    </row>
    <row r="16" spans="1:29" ht="42.75">
      <c r="A16" s="515"/>
      <c r="B16" s="2566"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68"/>
      <c r="Q16" s="1558" t="str">
        <f>B16</f>
        <v>公共配套设施</v>
      </c>
      <c r="R16" s="1559" t="s">
        <v>8</v>
      </c>
      <c r="S16" s="1560">
        <f>F16</f>
        <v>100</v>
      </c>
      <c r="T16" s="1559" t="s">
        <v>8</v>
      </c>
      <c r="U16" s="1560">
        <f>H16</f>
        <v>100</v>
      </c>
      <c r="V16" s="1559" t="s">
        <v>8</v>
      </c>
      <c r="W16" s="1560">
        <f>J16</f>
        <v>100</v>
      </c>
      <c r="X16" s="1553"/>
      <c r="Y16" s="346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68"/>
      <c r="Q17" s="1558"/>
      <c r="R17" s="1559"/>
      <c r="S17" s="1560"/>
      <c r="T17" s="1559"/>
      <c r="U17" s="1560"/>
      <c r="V17" s="1559"/>
      <c r="W17" s="1560"/>
      <c r="X17" s="1553"/>
      <c r="Y17" s="3468"/>
      <c r="Z17" s="1561"/>
      <c r="AA17" s="1562">
        <v>1</v>
      </c>
      <c r="AB17" s="1562">
        <v>1</v>
      </c>
      <c r="AC17" s="1562">
        <v>1</v>
      </c>
    </row>
    <row r="18" spans="1:29" ht="28.5">
      <c r="A18" s="515"/>
      <c r="B18" s="2554"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68"/>
      <c r="Q18" s="2542" t="str">
        <f>B18</f>
        <v>基础设施水平</v>
      </c>
      <c r="R18" s="1559" t="s">
        <v>8</v>
      </c>
      <c r="S18" s="1560">
        <f>F18</f>
        <v>100</v>
      </c>
      <c r="T18" s="1559" t="s">
        <v>8</v>
      </c>
      <c r="U18" s="1560">
        <f>H18</f>
        <v>100</v>
      </c>
      <c r="V18" s="1559" t="s">
        <v>8</v>
      </c>
      <c r="W18" s="1560">
        <f>J18</f>
        <v>100</v>
      </c>
      <c r="X18" s="2544"/>
      <c r="Y18" s="3468"/>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68"/>
      <c r="Q19" s="2542"/>
      <c r="R19" s="1559"/>
      <c r="S19" s="1560"/>
      <c r="T19" s="1559"/>
      <c r="U19" s="1560"/>
      <c r="V19" s="1559"/>
      <c r="W19" s="1560"/>
      <c r="X19" s="2544"/>
      <c r="Y19" s="3468"/>
      <c r="Z19" s="2543"/>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68"/>
      <c r="Q20" s="1558" t="str">
        <f>B20</f>
        <v>自然及人文环境</v>
      </c>
      <c r="R20" s="1559" t="s">
        <v>8</v>
      </c>
      <c r="S20" s="1560">
        <f>F20</f>
        <v>100</v>
      </c>
      <c r="T20" s="1559" t="s">
        <v>8</v>
      </c>
      <c r="U20" s="1560">
        <f>H20</f>
        <v>100</v>
      </c>
      <c r="V20" s="1559" t="s">
        <v>8</v>
      </c>
      <c r="W20" s="1560">
        <f>J20</f>
        <v>100</v>
      </c>
      <c r="X20" s="1553"/>
      <c r="Y20" s="346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68"/>
      <c r="Q21" s="1558"/>
      <c r="R21" s="1559"/>
      <c r="S21" s="1560"/>
      <c r="T21" s="1559"/>
      <c r="U21" s="1560"/>
      <c r="V21" s="1559"/>
      <c r="W21" s="1560"/>
      <c r="X21" s="1553"/>
      <c r="Y21" s="346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68"/>
      <c r="Q22" s="1558" t="str">
        <f>B22</f>
        <v>楼层</v>
      </c>
      <c r="R22" s="1559" t="s">
        <v>8</v>
      </c>
      <c r="S22" s="1560">
        <f>F22</f>
        <v>100</v>
      </c>
      <c r="T22" s="1559" t="s">
        <v>8</v>
      </c>
      <c r="U22" s="1560">
        <f>H22</f>
        <v>100</v>
      </c>
      <c r="V22" s="1559" t="s">
        <v>8</v>
      </c>
      <c r="W22" s="1560">
        <f>J22</f>
        <v>100</v>
      </c>
      <c r="X22" s="1553"/>
      <c r="Y22" s="346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68"/>
      <c r="Q23" s="1558">
        <f>B23</f>
        <v>111</v>
      </c>
      <c r="R23" s="1559" t="s">
        <v>8</v>
      </c>
      <c r="S23" s="1560">
        <f>F23</f>
        <v>100</v>
      </c>
      <c r="T23" s="1559" t="s">
        <v>8</v>
      </c>
      <c r="U23" s="1560">
        <f>H23</f>
        <v>100</v>
      </c>
      <c r="V23" s="1559" t="s">
        <v>8</v>
      </c>
      <c r="W23" s="1560">
        <f>J23</f>
        <v>100</v>
      </c>
      <c r="X23" s="1553"/>
      <c r="Y23" s="346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68"/>
      <c r="Q24" s="1558">
        <f t="shared" ref="Q24:Q36" si="11">B24</f>
        <v>111</v>
      </c>
      <c r="R24" s="1559" t="s">
        <v>8</v>
      </c>
      <c r="S24" s="1560">
        <f>F24</f>
        <v>100</v>
      </c>
      <c r="T24" s="1559" t="s">
        <v>8</v>
      </c>
      <c r="U24" s="1560">
        <f>H24</f>
        <v>100</v>
      </c>
      <c r="V24" s="1559" t="s">
        <v>8</v>
      </c>
      <c r="W24" s="1560">
        <f>J24</f>
        <v>100</v>
      </c>
      <c r="X24" s="1553"/>
      <c r="Y24" s="346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68"/>
      <c r="Q25" s="1147">
        <f t="shared" si="11"/>
        <v>111</v>
      </c>
      <c r="R25" s="1554" t="s">
        <v>8</v>
      </c>
      <c r="S25" s="1555">
        <f>F25</f>
        <v>100</v>
      </c>
      <c r="T25" s="1554" t="s">
        <v>8</v>
      </c>
      <c r="U25" s="1555">
        <f>H25</f>
        <v>100</v>
      </c>
      <c r="V25" s="1554" t="s">
        <v>8</v>
      </c>
      <c r="W25" s="1555">
        <f>J25</f>
        <v>100</v>
      </c>
      <c r="X25" s="1556"/>
      <c r="Y25" s="3468"/>
      <c r="Z25" s="1146">
        <f>Q25</f>
        <v>111</v>
      </c>
      <c r="AA25" s="1562">
        <f>D25/F25</f>
        <v>1</v>
      </c>
      <c r="AB25" s="1562">
        <f>D25/H25</f>
        <v>1</v>
      </c>
      <c r="AC25" s="1562">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70"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70"/>
      <c r="Q27" s="1590" t="str">
        <f t="shared" si="11"/>
        <v>项目停车位配比</v>
      </c>
      <c r="R27" s="1563" t="s">
        <v>8</v>
      </c>
      <c r="S27" s="1564">
        <f t="shared" si="12"/>
        <v>100</v>
      </c>
      <c r="T27" s="1563" t="s">
        <v>8</v>
      </c>
      <c r="U27" s="1564">
        <f t="shared" si="13"/>
        <v>100</v>
      </c>
      <c r="V27" s="1563" t="s">
        <v>8</v>
      </c>
      <c r="W27" s="1564">
        <f t="shared" si="14"/>
        <v>100</v>
      </c>
      <c r="X27" s="1565"/>
      <c r="Y27" s="3470"/>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70"/>
      <c r="Q28" s="1558" t="str">
        <f t="shared" si="11"/>
        <v>公共部分装修</v>
      </c>
      <c r="R28" s="1559" t="s">
        <v>8</v>
      </c>
      <c r="S28" s="1560">
        <f t="shared" si="12"/>
        <v>100</v>
      </c>
      <c r="T28" s="1559" t="s">
        <v>8</v>
      </c>
      <c r="U28" s="1560">
        <f t="shared" si="13"/>
        <v>100</v>
      </c>
      <c r="V28" s="1559" t="s">
        <v>8</v>
      </c>
      <c r="W28" s="1560">
        <f t="shared" si="14"/>
        <v>100</v>
      </c>
      <c r="X28" s="1553"/>
      <c r="Y28" s="3470"/>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70"/>
      <c r="Q29" s="1558" t="str">
        <f t="shared" si="11"/>
        <v>成新率</v>
      </c>
      <c r="R29" s="1559" t="s">
        <v>8</v>
      </c>
      <c r="S29" s="1560" t="e">
        <f t="shared" si="12"/>
        <v>#N/A</v>
      </c>
      <c r="T29" s="1559" t="s">
        <v>8</v>
      </c>
      <c r="U29" s="1560" t="e">
        <f t="shared" si="13"/>
        <v>#N/A</v>
      </c>
      <c r="V29" s="1559" t="s">
        <v>8</v>
      </c>
      <c r="W29" s="1560" t="e">
        <f t="shared" si="14"/>
        <v>#N/A</v>
      </c>
      <c r="X29" s="1553"/>
      <c r="Y29" s="3470"/>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70"/>
      <c r="Q30" s="1558" t="str">
        <f t="shared" si="11"/>
        <v>物业等级</v>
      </c>
      <c r="R30" s="1559" t="s">
        <v>8</v>
      </c>
      <c r="S30" s="1560">
        <f t="shared" si="12"/>
        <v>100</v>
      </c>
      <c r="T30" s="1559" t="s">
        <v>8</v>
      </c>
      <c r="U30" s="1560">
        <f t="shared" si="13"/>
        <v>100</v>
      </c>
      <c r="V30" s="1559" t="s">
        <v>8</v>
      </c>
      <c r="W30" s="1560">
        <f t="shared" si="14"/>
        <v>100</v>
      </c>
      <c r="X30" s="1553"/>
      <c r="Y30" s="3470"/>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70"/>
      <c r="Q31" s="1147" t="str">
        <f t="shared" si="11"/>
        <v>停车位面积</v>
      </c>
      <c r="R31" s="1554" t="s">
        <v>8</v>
      </c>
      <c r="S31" s="1555" t="e">
        <f t="shared" si="12"/>
        <v>#N/A</v>
      </c>
      <c r="T31" s="1554" t="s">
        <v>8</v>
      </c>
      <c r="U31" s="1555" t="e">
        <f t="shared" si="13"/>
        <v>#N/A</v>
      </c>
      <c r="V31" s="1554" t="s">
        <v>8</v>
      </c>
      <c r="W31" s="1555" t="e">
        <f t="shared" si="14"/>
        <v>#N/A</v>
      </c>
      <c r="X31" s="1556"/>
      <c r="Y31" s="3470"/>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70" t="s">
        <v>550</v>
      </c>
      <c r="Q32" s="1558" t="str">
        <f t="shared" si="11"/>
        <v>车位类型</v>
      </c>
      <c r="R32" s="1559" t="s">
        <v>8</v>
      </c>
      <c r="S32" s="1560">
        <f t="shared" si="12"/>
        <v>100</v>
      </c>
      <c r="T32" s="1559" t="s">
        <v>8</v>
      </c>
      <c r="U32" s="1560">
        <f t="shared" si="13"/>
        <v>100</v>
      </c>
      <c r="V32" s="1559" t="s">
        <v>8</v>
      </c>
      <c r="W32" s="1560">
        <f t="shared" si="14"/>
        <v>100</v>
      </c>
      <c r="X32" s="1553"/>
      <c r="Y32" s="3470"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70"/>
      <c r="Q33" s="1558" t="str">
        <f t="shared" si="11"/>
        <v>是否直接入户</v>
      </c>
      <c r="R33" s="1559" t="s">
        <v>8</v>
      </c>
      <c r="S33" s="1560">
        <f t="shared" si="12"/>
        <v>100</v>
      </c>
      <c r="T33" s="1559" t="s">
        <v>8</v>
      </c>
      <c r="U33" s="1560">
        <f t="shared" si="13"/>
        <v>100</v>
      </c>
      <c r="V33" s="1559" t="s">
        <v>8</v>
      </c>
      <c r="W33" s="1560">
        <f t="shared" si="14"/>
        <v>100</v>
      </c>
      <c r="X33" s="1553"/>
      <c r="Y33" s="347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70"/>
      <c r="Q34" s="1558">
        <f t="shared" si="11"/>
        <v>111</v>
      </c>
      <c r="R34" s="1559" t="s">
        <v>8</v>
      </c>
      <c r="S34" s="1560">
        <f t="shared" si="12"/>
        <v>100</v>
      </c>
      <c r="T34" s="1559" t="s">
        <v>8</v>
      </c>
      <c r="U34" s="1560">
        <f t="shared" si="13"/>
        <v>100</v>
      </c>
      <c r="V34" s="1559" t="s">
        <v>8</v>
      </c>
      <c r="W34" s="1560">
        <f t="shared" si="14"/>
        <v>100</v>
      </c>
      <c r="X34" s="1553"/>
      <c r="Y34" s="347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70"/>
      <c r="Q35" s="1590">
        <f t="shared" si="11"/>
        <v>111</v>
      </c>
      <c r="R35" s="1563" t="s">
        <v>8</v>
      </c>
      <c r="S35" s="1564">
        <f t="shared" si="12"/>
        <v>100</v>
      </c>
      <c r="T35" s="1563" t="s">
        <v>8</v>
      </c>
      <c r="U35" s="1564">
        <f t="shared" si="13"/>
        <v>100</v>
      </c>
      <c r="V35" s="1563" t="s">
        <v>8</v>
      </c>
      <c r="W35" s="1564">
        <f t="shared" si="14"/>
        <v>100</v>
      </c>
      <c r="X35" s="1565"/>
      <c r="Y35" s="347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70"/>
      <c r="Q36" s="1558">
        <f t="shared" si="11"/>
        <v>111</v>
      </c>
      <c r="R36" s="1559" t="s">
        <v>8</v>
      </c>
      <c r="S36" s="1560">
        <f t="shared" si="12"/>
        <v>100</v>
      </c>
      <c r="T36" s="1559" t="s">
        <v>8</v>
      </c>
      <c r="U36" s="1560">
        <f t="shared" si="13"/>
        <v>100</v>
      </c>
      <c r="V36" s="1559" t="s">
        <v>8</v>
      </c>
      <c r="W36" s="1560">
        <f t="shared" si="14"/>
        <v>100</v>
      </c>
      <c r="X36" s="1553"/>
      <c r="Y36" s="3470"/>
      <c r="Z36" s="1561">
        <f t="shared" si="15"/>
        <v>111</v>
      </c>
      <c r="AA36" s="1562">
        <f t="shared" si="3"/>
        <v>1</v>
      </c>
      <c r="AB36" s="1562">
        <f t="shared" si="4"/>
        <v>1</v>
      </c>
      <c r="AC36" s="1562">
        <f t="shared" si="5"/>
        <v>1</v>
      </c>
    </row>
    <row r="37" spans="1:29" ht="15">
      <c r="A37" s="1830" t="s">
        <v>2077</v>
      </c>
      <c r="B37" s="1831" t="s">
        <v>2078</v>
      </c>
      <c r="C37" s="2590" t="s">
        <v>1</v>
      </c>
      <c r="D37" s="2591"/>
      <c r="E37" s="2592"/>
      <c r="F37" s="2593"/>
      <c r="G37" s="2594"/>
      <c r="H37" s="2595"/>
      <c r="I37" s="2592"/>
      <c r="J37" s="2595"/>
      <c r="K37" s="1596"/>
      <c r="L37" s="2128"/>
      <c r="M37" s="2129"/>
      <c r="N37" s="2118"/>
      <c r="O37" s="2129"/>
      <c r="P37" s="3433" t="str">
        <f>A37</f>
        <v>成交单价</v>
      </c>
      <c r="Q37" s="3433"/>
      <c r="R37" s="3550">
        <f>E37</f>
        <v>0</v>
      </c>
      <c r="S37" s="3550"/>
      <c r="T37" s="3550">
        <f>G37</f>
        <v>0</v>
      </c>
      <c r="U37" s="3550"/>
      <c r="V37" s="3550">
        <f>I37</f>
        <v>0</v>
      </c>
      <c r="W37" s="3550"/>
      <c r="X37" s="1545"/>
      <c r="Y37" s="1567"/>
      <c r="Z37" s="1545"/>
      <c r="AA37" s="1545"/>
      <c r="AB37" s="1545"/>
      <c r="AC37" s="1545"/>
    </row>
    <row r="38" spans="1:29" ht="15.75" thickBot="1">
      <c r="A38" s="615" t="s">
        <v>2758</v>
      </c>
      <c r="B38" s="888"/>
      <c r="C38" s="2596" t="e">
        <f>R39</f>
        <v>#DIV/0!</v>
      </c>
      <c r="D38" s="2597"/>
      <c r="E38" s="2598" t="e">
        <f>R38</f>
        <v>#DIV/0!</v>
      </c>
      <c r="F38" s="2598"/>
      <c r="G38" s="2596" t="e">
        <f>T38</f>
        <v>#DIV/0!</v>
      </c>
      <c r="H38" s="2597"/>
      <c r="I38" s="2598" t="e">
        <f>V38</f>
        <v>#DIV/0!</v>
      </c>
      <c r="J38" s="2597"/>
      <c r="K38" s="1597"/>
      <c r="L38" s="2128"/>
      <c r="M38" s="2129"/>
      <c r="N38" s="2129"/>
      <c r="O38" s="2129"/>
      <c r="P38" s="3433" t="str">
        <f>A38</f>
        <v>比较价格（元/平方米）</v>
      </c>
      <c r="Q38" s="3433"/>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45"/>
      <c r="Y38" s="1545"/>
      <c r="Z38" s="1545"/>
      <c r="AA38" s="1545"/>
      <c r="AB38" s="1545"/>
      <c r="AC38" s="1545"/>
    </row>
    <row r="39" spans="1:29" ht="15.75" thickBot="1">
      <c r="A39" s="621" t="s">
        <v>2934</v>
      </c>
      <c r="B39" s="622"/>
      <c r="C39" s="2599" t="e">
        <f>R39</f>
        <v>#DIV/0!</v>
      </c>
      <c r="D39" s="2599"/>
      <c r="E39" s="2599"/>
      <c r="F39" s="2599"/>
      <c r="G39" s="2599"/>
      <c r="H39" s="2599"/>
      <c r="I39" s="2599"/>
      <c r="J39" s="2599"/>
      <c r="K39" s="1598"/>
      <c r="L39" s="2128"/>
      <c r="M39" s="2129"/>
      <c r="N39" s="2129"/>
      <c r="O39" s="2129"/>
      <c r="P39" s="3430" t="str">
        <f>A39</f>
        <v>估价对象XX用房的比较价格（楼面单价，元/平方米）</v>
      </c>
      <c r="Q39" s="3431"/>
      <c r="R39" s="3549" t="e">
        <f>IF(F1="售价",ROUND(AVERAGE(R38:V38),0),ROUND(AVERAGE(R38:V38),1))</f>
        <v>#DIV/0!</v>
      </c>
      <c r="S39" s="3549"/>
      <c r="T39" s="3549"/>
      <c r="U39" s="3549"/>
      <c r="V39" s="3549"/>
      <c r="W39" s="3549"/>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2556</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39" t="s">
        <v>798</v>
      </c>
      <c r="D4" s="3440"/>
      <c r="E4" s="3473" t="s">
        <v>799</v>
      </c>
      <c r="F4" s="3474"/>
      <c r="G4" s="3439" t="s">
        <v>800</v>
      </c>
      <c r="H4" s="3440"/>
      <c r="I4" s="3439" t="s">
        <v>801</v>
      </c>
      <c r="J4" s="3440"/>
      <c r="K4" s="514" t="s">
        <v>802</v>
      </c>
      <c r="L4" s="2117"/>
      <c r="M4" s="2118"/>
      <c r="N4" s="2118"/>
      <c r="O4" s="2118"/>
      <c r="P4" s="3441" t="s">
        <v>803</v>
      </c>
      <c r="Q4" s="3442"/>
      <c r="R4" s="3447" t="s">
        <v>799</v>
      </c>
      <c r="S4" s="3448"/>
      <c r="T4" s="3447" t="s">
        <v>800</v>
      </c>
      <c r="U4" s="3448"/>
      <c r="V4" s="3434" t="s">
        <v>801</v>
      </c>
      <c r="W4" s="3434"/>
      <c r="X4" s="1553"/>
      <c r="Y4" s="3447" t="s">
        <v>803</v>
      </c>
      <c r="Z4" s="3448"/>
      <c r="AA4" s="3436" t="s">
        <v>799</v>
      </c>
      <c r="AB4" s="3437" t="s">
        <v>800</v>
      </c>
      <c r="AC4" s="3436" t="s">
        <v>801</v>
      </c>
    </row>
    <row r="5" spans="1:29" ht="15">
      <c r="A5" s="515"/>
      <c r="B5" s="516"/>
      <c r="C5" s="3455" t="s">
        <v>2928</v>
      </c>
      <c r="D5" s="3456"/>
      <c r="E5" s="3475" t="s">
        <v>2929</v>
      </c>
      <c r="F5" s="3476"/>
      <c r="G5" s="3455" t="s">
        <v>2930</v>
      </c>
      <c r="H5" s="3456"/>
      <c r="I5" s="3455" t="s">
        <v>2931</v>
      </c>
      <c r="J5" s="3456"/>
      <c r="K5" s="514"/>
      <c r="L5" s="2117"/>
      <c r="M5" s="2118"/>
      <c r="N5" s="2118"/>
      <c r="O5" s="2118"/>
      <c r="P5" s="3443"/>
      <c r="Q5" s="3444"/>
      <c r="R5" s="3449"/>
      <c r="S5" s="3450"/>
      <c r="T5" s="3449"/>
      <c r="U5" s="3450"/>
      <c r="V5" s="3434"/>
      <c r="W5" s="3434"/>
      <c r="X5" s="1553"/>
      <c r="Y5" s="3449"/>
      <c r="Z5" s="3450"/>
      <c r="AA5" s="3437"/>
      <c r="AB5" s="3437"/>
      <c r="AC5" s="3437"/>
    </row>
    <row r="6" spans="1:29" ht="15.75" thickBot="1">
      <c r="A6" s="517"/>
      <c r="B6" s="518"/>
      <c r="C6" s="3453" t="s">
        <v>2932</v>
      </c>
      <c r="D6" s="3454"/>
      <c r="E6" s="3471" t="s">
        <v>2932</v>
      </c>
      <c r="F6" s="3472"/>
      <c r="G6" s="3453" t="s">
        <v>2932</v>
      </c>
      <c r="H6" s="3454"/>
      <c r="I6" s="3453" t="s">
        <v>2932</v>
      </c>
      <c r="J6" s="3454"/>
      <c r="K6" s="514" t="s">
        <v>528</v>
      </c>
      <c r="L6" s="2117"/>
      <c r="M6" s="2118"/>
      <c r="N6" s="2118"/>
      <c r="O6" s="2118"/>
      <c r="P6" s="3445"/>
      <c r="Q6" s="3446"/>
      <c r="R6" s="3449"/>
      <c r="S6" s="3450"/>
      <c r="T6" s="3451"/>
      <c r="U6" s="3452"/>
      <c r="V6" s="3434"/>
      <c r="W6" s="3434"/>
      <c r="X6" s="1553"/>
      <c r="Y6" s="3451"/>
      <c r="Z6" s="3452"/>
      <c r="AA6" s="3438"/>
      <c r="AB6" s="3438"/>
      <c r="AC6" s="3438"/>
    </row>
    <row r="7" spans="1:29" s="1216" customFormat="1" ht="15.75" thickBot="1">
      <c r="A7" s="2866"/>
      <c r="B7" s="2873" t="s">
        <v>529</v>
      </c>
      <c r="C7" s="519">
        <f>'数据-取费表'!B2</f>
        <v>43565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64" t="s">
        <v>530</v>
      </c>
      <c r="Q7" s="3466"/>
      <c r="R7" s="1554" t="s">
        <v>8</v>
      </c>
      <c r="S7" s="1555">
        <f t="shared" ref="S7:S14" si="0">F7</f>
        <v>0</v>
      </c>
      <c r="T7" s="1554" t="s">
        <v>8</v>
      </c>
      <c r="U7" s="1555">
        <f t="shared" ref="U7:U14" si="1">H7</f>
        <v>0</v>
      </c>
      <c r="V7" s="1554" t="s">
        <v>8</v>
      </c>
      <c r="W7" s="1555">
        <f t="shared" ref="W7:W14" si="2">J7</f>
        <v>0</v>
      </c>
      <c r="X7" s="1556"/>
      <c r="Y7" s="3464" t="s">
        <v>530</v>
      </c>
      <c r="Z7" s="3465"/>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64" t="s">
        <v>533</v>
      </c>
      <c r="Q8" s="3465"/>
      <c r="R8" s="1554" t="s">
        <v>8</v>
      </c>
      <c r="S8" s="1555">
        <f t="shared" si="0"/>
        <v>0</v>
      </c>
      <c r="T8" s="1554" t="s">
        <v>8</v>
      </c>
      <c r="U8" s="1555">
        <f t="shared" si="1"/>
        <v>0</v>
      </c>
      <c r="V8" s="1554" t="s">
        <v>8</v>
      </c>
      <c r="W8" s="1555">
        <f t="shared" si="2"/>
        <v>0</v>
      </c>
      <c r="X8" s="1556"/>
      <c r="Y8" s="3464" t="s">
        <v>533</v>
      </c>
      <c r="Z8" s="3465"/>
      <c r="AA8" s="1557" t="e">
        <f t="shared" ref="AA8:AA34" si="3">D8/F8</f>
        <v>#DIV/0!</v>
      </c>
      <c r="AB8" s="1557" t="e">
        <f t="shared" ref="AB8:AB34" si="4">D8/H8</f>
        <v>#DIV/0!</v>
      </c>
      <c r="AC8" s="1557"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33" t="s">
        <v>535</v>
      </c>
      <c r="Q9" s="1147" t="str">
        <f t="shared" ref="Q9:Q14" si="6">B9</f>
        <v>用途</v>
      </c>
      <c r="R9" s="1554" t="s">
        <v>8</v>
      </c>
      <c r="S9" s="1555">
        <f t="shared" si="0"/>
        <v>100</v>
      </c>
      <c r="T9" s="1554" t="s">
        <v>8</v>
      </c>
      <c r="U9" s="1555">
        <f t="shared" si="1"/>
        <v>100</v>
      </c>
      <c r="V9" s="1554" t="s">
        <v>8</v>
      </c>
      <c r="W9" s="1555">
        <f t="shared" si="2"/>
        <v>100</v>
      </c>
      <c r="X9" s="1556"/>
      <c r="Y9" s="3379"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33"/>
      <c r="Q10" s="1147" t="str">
        <f t="shared" si="6"/>
        <v>土地使用年限（年）</v>
      </c>
      <c r="R10" s="1554" t="s">
        <v>8</v>
      </c>
      <c r="S10" s="1555">
        <f t="shared" si="0"/>
        <v>100</v>
      </c>
      <c r="T10" s="1554" t="s">
        <v>8</v>
      </c>
      <c r="U10" s="1555">
        <f t="shared" si="1"/>
        <v>100</v>
      </c>
      <c r="V10" s="1554" t="s">
        <v>8</v>
      </c>
      <c r="W10" s="1555">
        <f t="shared" si="2"/>
        <v>100</v>
      </c>
      <c r="X10" s="1556"/>
      <c r="Y10" s="3379"/>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33"/>
      <c r="Q11" s="1147">
        <f t="shared" si="6"/>
        <v>111</v>
      </c>
      <c r="R11" s="1554" t="s">
        <v>8</v>
      </c>
      <c r="S11" s="1555">
        <f t="shared" si="0"/>
        <v>100</v>
      </c>
      <c r="T11" s="1554" t="s">
        <v>8</v>
      </c>
      <c r="U11" s="1555">
        <f t="shared" si="1"/>
        <v>100</v>
      </c>
      <c r="V11" s="1554" t="s">
        <v>8</v>
      </c>
      <c r="W11" s="1555">
        <f t="shared" si="2"/>
        <v>100</v>
      </c>
      <c r="X11" s="1556"/>
      <c r="Y11" s="3379"/>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33"/>
      <c r="Q12" s="1147">
        <f t="shared" si="6"/>
        <v>111</v>
      </c>
      <c r="R12" s="1554" t="s">
        <v>8</v>
      </c>
      <c r="S12" s="1555">
        <f t="shared" si="0"/>
        <v>100</v>
      </c>
      <c r="T12" s="1554" t="s">
        <v>8</v>
      </c>
      <c r="U12" s="1555">
        <f t="shared" si="1"/>
        <v>100</v>
      </c>
      <c r="V12" s="1554" t="s">
        <v>8</v>
      </c>
      <c r="W12" s="1555">
        <f t="shared" si="2"/>
        <v>100</v>
      </c>
      <c r="X12" s="1556"/>
      <c r="Y12" s="3379"/>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33"/>
      <c r="Q13" s="1147">
        <f t="shared" si="6"/>
        <v>111</v>
      </c>
      <c r="R13" s="1554" t="s">
        <v>8</v>
      </c>
      <c r="S13" s="1555">
        <f t="shared" si="0"/>
        <v>100</v>
      </c>
      <c r="T13" s="1554" t="s">
        <v>8</v>
      </c>
      <c r="U13" s="1555">
        <f t="shared" si="1"/>
        <v>100</v>
      </c>
      <c r="V13" s="1554" t="s">
        <v>8</v>
      </c>
      <c r="W13" s="1555">
        <f t="shared" si="2"/>
        <v>100</v>
      </c>
      <c r="X13" s="1556"/>
      <c r="Y13" s="3379"/>
      <c r="Z13" s="1146">
        <f t="shared" si="7"/>
        <v>111</v>
      </c>
      <c r="AA13" s="1557">
        <f t="shared" si="3"/>
        <v>1</v>
      </c>
      <c r="AB13" s="1557">
        <f t="shared" si="4"/>
        <v>1</v>
      </c>
      <c r="AC13" s="1557">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67" t="s">
        <v>540</v>
      </c>
      <c r="Q14" s="1558" t="str">
        <f t="shared" si="6"/>
        <v>交通便捷度</v>
      </c>
      <c r="R14" s="1559" t="s">
        <v>8</v>
      </c>
      <c r="S14" s="1560">
        <f t="shared" si="0"/>
        <v>100</v>
      </c>
      <c r="T14" s="1559" t="s">
        <v>8</v>
      </c>
      <c r="U14" s="1560">
        <f t="shared" si="1"/>
        <v>100</v>
      </c>
      <c r="V14" s="1559" t="s">
        <v>8</v>
      </c>
      <c r="W14" s="1560">
        <f t="shared" si="2"/>
        <v>100</v>
      </c>
      <c r="X14" s="1553"/>
      <c r="Y14" s="346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68"/>
      <c r="Q15" s="1558"/>
      <c r="R15" s="1559"/>
      <c r="S15" s="1560"/>
      <c r="T15" s="1559"/>
      <c r="U15" s="1560"/>
      <c r="V15" s="1559"/>
      <c r="W15" s="1560"/>
      <c r="X15" s="1553"/>
      <c r="Y15" s="3468"/>
      <c r="Z15" s="1561"/>
      <c r="AA15" s="1562">
        <v>1</v>
      </c>
      <c r="AB15" s="1562">
        <v>1</v>
      </c>
      <c r="AC15" s="1562">
        <v>1</v>
      </c>
    </row>
    <row r="16" spans="1:29" ht="42.75">
      <c r="A16" s="532"/>
      <c r="B16" s="2566"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68"/>
      <c r="Q16" s="1558" t="str">
        <f>B16</f>
        <v>公共配套设施</v>
      </c>
      <c r="R16" s="1559" t="s">
        <v>8</v>
      </c>
      <c r="S16" s="1560">
        <f>F16</f>
        <v>100</v>
      </c>
      <c r="T16" s="1559" t="s">
        <v>8</v>
      </c>
      <c r="U16" s="1560">
        <f>H16</f>
        <v>100</v>
      </c>
      <c r="V16" s="1559" t="s">
        <v>8</v>
      </c>
      <c r="W16" s="1560">
        <f>J16</f>
        <v>100</v>
      </c>
      <c r="X16" s="1553"/>
      <c r="Y16" s="346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68"/>
      <c r="Q17" s="1558"/>
      <c r="R17" s="1559"/>
      <c r="S17" s="1560"/>
      <c r="T17" s="1559"/>
      <c r="U17" s="1560"/>
      <c r="V17" s="1559"/>
      <c r="W17" s="1560"/>
      <c r="X17" s="1553"/>
      <c r="Y17" s="3468"/>
      <c r="Z17" s="1561"/>
      <c r="AA17" s="1562">
        <v>1</v>
      </c>
      <c r="AB17" s="1562">
        <v>1</v>
      </c>
      <c r="AC17" s="1562">
        <v>1</v>
      </c>
    </row>
    <row r="18" spans="1:29" ht="28.5">
      <c r="A18" s="532"/>
      <c r="B18" s="2554"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68"/>
      <c r="Q18" s="2542" t="str">
        <f>B18</f>
        <v>基础设施水平</v>
      </c>
      <c r="R18" s="1559" t="s">
        <v>8</v>
      </c>
      <c r="S18" s="1560">
        <f>F18</f>
        <v>100</v>
      </c>
      <c r="T18" s="1559" t="s">
        <v>8</v>
      </c>
      <c r="U18" s="1560">
        <f>H18</f>
        <v>100</v>
      </c>
      <c r="V18" s="1559" t="s">
        <v>8</v>
      </c>
      <c r="W18" s="1560">
        <f>J18</f>
        <v>100</v>
      </c>
      <c r="X18" s="2544"/>
      <c r="Y18" s="3468"/>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68"/>
      <c r="Q19" s="2542"/>
      <c r="R19" s="1559"/>
      <c r="S19" s="1560"/>
      <c r="T19" s="1559"/>
      <c r="U19" s="1560"/>
      <c r="V19" s="1559"/>
      <c r="W19" s="1560"/>
      <c r="X19" s="2544"/>
      <c r="Y19" s="3468"/>
      <c r="Z19" s="2543"/>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68"/>
      <c r="Q20" s="1558" t="str">
        <f>B20</f>
        <v>自然及人文环境</v>
      </c>
      <c r="R20" s="1559" t="s">
        <v>8</v>
      </c>
      <c r="S20" s="1560">
        <f>F20</f>
        <v>100</v>
      </c>
      <c r="T20" s="1559" t="s">
        <v>8</v>
      </c>
      <c r="U20" s="1560">
        <f>H20</f>
        <v>100</v>
      </c>
      <c r="V20" s="1559" t="s">
        <v>8</v>
      </c>
      <c r="W20" s="1560">
        <f>J20</f>
        <v>100</v>
      </c>
      <c r="X20" s="1553"/>
      <c r="Y20" s="346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68"/>
      <c r="Q21" s="1558"/>
      <c r="R21" s="1559"/>
      <c r="S21" s="1560"/>
      <c r="T21" s="1559"/>
      <c r="U21" s="1560"/>
      <c r="V21" s="1559"/>
      <c r="W21" s="1560"/>
      <c r="X21" s="1553"/>
      <c r="Y21" s="346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68"/>
      <c r="Q22" s="1558" t="str">
        <f>B22</f>
        <v>楼层</v>
      </c>
      <c r="R22" s="1559" t="s">
        <v>8</v>
      </c>
      <c r="S22" s="1560">
        <f>F22</f>
        <v>100</v>
      </c>
      <c r="T22" s="1559" t="s">
        <v>8</v>
      </c>
      <c r="U22" s="1560">
        <f>H22</f>
        <v>100</v>
      </c>
      <c r="V22" s="1559" t="s">
        <v>8</v>
      </c>
      <c r="W22" s="1560">
        <f>J22</f>
        <v>100</v>
      </c>
      <c r="X22" s="1553"/>
      <c r="Y22" s="346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68"/>
      <c r="Q23" s="1558">
        <f>B23</f>
        <v>111</v>
      </c>
      <c r="R23" s="1559" t="s">
        <v>8</v>
      </c>
      <c r="S23" s="1560">
        <f>F23</f>
        <v>100</v>
      </c>
      <c r="T23" s="1559" t="s">
        <v>8</v>
      </c>
      <c r="U23" s="1560">
        <f>H23</f>
        <v>100</v>
      </c>
      <c r="V23" s="1559" t="s">
        <v>8</v>
      </c>
      <c r="W23" s="1560">
        <f>J23</f>
        <v>100</v>
      </c>
      <c r="X23" s="1553"/>
      <c r="Y23" s="346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68"/>
      <c r="Q24" s="1558">
        <f t="shared" ref="Q24:Q34" si="11">B24</f>
        <v>111</v>
      </c>
      <c r="R24" s="1559" t="s">
        <v>8</v>
      </c>
      <c r="S24" s="1560">
        <f>F24</f>
        <v>100</v>
      </c>
      <c r="T24" s="1559" t="s">
        <v>8</v>
      </c>
      <c r="U24" s="1560">
        <f>H24</f>
        <v>100</v>
      </c>
      <c r="V24" s="1559" t="s">
        <v>8</v>
      </c>
      <c r="W24" s="1560">
        <f>J24</f>
        <v>100</v>
      </c>
      <c r="X24" s="1553"/>
      <c r="Y24" s="346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68"/>
      <c r="Q25" s="1147">
        <f t="shared" si="11"/>
        <v>111</v>
      </c>
      <c r="R25" s="1554" t="s">
        <v>8</v>
      </c>
      <c r="S25" s="1555">
        <f>F25</f>
        <v>100</v>
      </c>
      <c r="T25" s="1554" t="s">
        <v>8</v>
      </c>
      <c r="U25" s="1555">
        <f>H25</f>
        <v>100</v>
      </c>
      <c r="V25" s="1554" t="s">
        <v>8</v>
      </c>
      <c r="W25" s="1555">
        <f>J25</f>
        <v>100</v>
      </c>
      <c r="X25" s="1556"/>
      <c r="Y25" s="3468"/>
      <c r="Z25" s="1146">
        <f>Q25</f>
        <v>111</v>
      </c>
      <c r="AA25" s="1562">
        <f>D25/F25</f>
        <v>1</v>
      </c>
      <c r="AB25" s="1562">
        <f>D25/H25</f>
        <v>1</v>
      </c>
      <c r="AC25" s="1562">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6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70"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70"/>
      <c r="Q27" s="1590" t="str">
        <f t="shared" si="11"/>
        <v>成新率</v>
      </c>
      <c r="R27" s="1563" t="s">
        <v>8</v>
      </c>
      <c r="S27" s="1564" t="e">
        <f t="shared" si="12"/>
        <v>#N/A</v>
      </c>
      <c r="T27" s="1563" t="s">
        <v>8</v>
      </c>
      <c r="U27" s="1564" t="e">
        <f t="shared" si="13"/>
        <v>#N/A</v>
      </c>
      <c r="V27" s="1563" t="s">
        <v>8</v>
      </c>
      <c r="W27" s="1564" t="e">
        <f t="shared" si="14"/>
        <v>#N/A</v>
      </c>
      <c r="X27" s="1565"/>
      <c r="Y27" s="347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70"/>
      <c r="Q28" s="1558" t="str">
        <f t="shared" si="11"/>
        <v>物业等级</v>
      </c>
      <c r="R28" s="1559" t="s">
        <v>8</v>
      </c>
      <c r="S28" s="1560">
        <f t="shared" si="12"/>
        <v>100</v>
      </c>
      <c r="T28" s="1559" t="s">
        <v>8</v>
      </c>
      <c r="U28" s="1560">
        <f t="shared" si="13"/>
        <v>100</v>
      </c>
      <c r="V28" s="1559" t="s">
        <v>8</v>
      </c>
      <c r="W28" s="1560">
        <f t="shared" si="14"/>
        <v>100</v>
      </c>
      <c r="X28" s="1553"/>
      <c r="Y28" s="3470"/>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70"/>
      <c r="Q29" s="1558" t="str">
        <f t="shared" si="11"/>
        <v>有无电梯</v>
      </c>
      <c r="R29" s="1559" t="s">
        <v>8</v>
      </c>
      <c r="S29" s="1560">
        <f t="shared" si="12"/>
        <v>100</v>
      </c>
      <c r="T29" s="1559" t="s">
        <v>8</v>
      </c>
      <c r="U29" s="1560">
        <f t="shared" si="13"/>
        <v>100</v>
      </c>
      <c r="V29" s="1559" t="s">
        <v>8</v>
      </c>
      <c r="W29" s="1560">
        <f t="shared" si="14"/>
        <v>100</v>
      </c>
      <c r="X29" s="1553"/>
      <c r="Y29" s="3470"/>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70"/>
      <c r="Q30" s="1558" t="str">
        <f t="shared" si="11"/>
        <v>建筑面积</v>
      </c>
      <c r="R30" s="1559" t="s">
        <v>8</v>
      </c>
      <c r="S30" s="1560" t="e">
        <f t="shared" si="12"/>
        <v>#N/A</v>
      </c>
      <c r="T30" s="1559" t="s">
        <v>8</v>
      </c>
      <c r="U30" s="1560" t="e">
        <f t="shared" si="13"/>
        <v>#N/A</v>
      </c>
      <c r="V30" s="1559" t="s">
        <v>8</v>
      </c>
      <c r="W30" s="1560" t="e">
        <f t="shared" si="14"/>
        <v>#N/A</v>
      </c>
      <c r="X30" s="1553"/>
      <c r="Y30" s="3470"/>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70"/>
      <c r="Q31" s="1147" t="str">
        <f t="shared" si="11"/>
        <v>是否封闭</v>
      </c>
      <c r="R31" s="1554" t="s">
        <v>8</v>
      </c>
      <c r="S31" s="1555">
        <f t="shared" si="12"/>
        <v>100</v>
      </c>
      <c r="T31" s="1554" t="s">
        <v>8</v>
      </c>
      <c r="U31" s="1555">
        <f t="shared" si="13"/>
        <v>100</v>
      </c>
      <c r="V31" s="1554" t="s">
        <v>8</v>
      </c>
      <c r="W31" s="1555">
        <f t="shared" si="14"/>
        <v>100</v>
      </c>
      <c r="X31" s="1556"/>
      <c r="Y31" s="347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70" t="s">
        <v>550</v>
      </c>
      <c r="Q32" s="1558">
        <f t="shared" si="11"/>
        <v>111</v>
      </c>
      <c r="R32" s="1559" t="s">
        <v>8</v>
      </c>
      <c r="S32" s="1560">
        <f t="shared" si="12"/>
        <v>100</v>
      </c>
      <c r="T32" s="1559" t="s">
        <v>8</v>
      </c>
      <c r="U32" s="1560">
        <f t="shared" si="13"/>
        <v>100</v>
      </c>
      <c r="V32" s="1559" t="s">
        <v>8</v>
      </c>
      <c r="W32" s="1560">
        <f t="shared" si="14"/>
        <v>100</v>
      </c>
      <c r="X32" s="1553"/>
      <c r="Y32" s="3470"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70"/>
      <c r="Q33" s="1558">
        <f t="shared" si="11"/>
        <v>111</v>
      </c>
      <c r="R33" s="1559" t="s">
        <v>8</v>
      </c>
      <c r="S33" s="1560">
        <f t="shared" si="12"/>
        <v>100</v>
      </c>
      <c r="T33" s="1559" t="s">
        <v>8</v>
      </c>
      <c r="U33" s="1560">
        <f t="shared" si="13"/>
        <v>100</v>
      </c>
      <c r="V33" s="1559" t="s">
        <v>8</v>
      </c>
      <c r="W33" s="1560">
        <f t="shared" si="14"/>
        <v>100</v>
      </c>
      <c r="X33" s="1553"/>
      <c r="Y33" s="347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70"/>
      <c r="Q34" s="1558">
        <f t="shared" si="11"/>
        <v>111</v>
      </c>
      <c r="R34" s="1559" t="s">
        <v>8</v>
      </c>
      <c r="S34" s="1560">
        <f t="shared" si="12"/>
        <v>100</v>
      </c>
      <c r="T34" s="1559" t="s">
        <v>8</v>
      </c>
      <c r="U34" s="1560">
        <f t="shared" si="13"/>
        <v>100</v>
      </c>
      <c r="V34" s="1559" t="s">
        <v>8</v>
      </c>
      <c r="W34" s="1560">
        <f t="shared" si="14"/>
        <v>100</v>
      </c>
      <c r="X34" s="1553"/>
      <c r="Y34" s="3470"/>
      <c r="Z34" s="1561">
        <f t="shared" si="15"/>
        <v>111</v>
      </c>
      <c r="AA34" s="1562">
        <f t="shared" si="3"/>
        <v>1</v>
      </c>
      <c r="AB34" s="1562">
        <f t="shared" si="4"/>
        <v>1</v>
      </c>
      <c r="AC34" s="1562">
        <f t="shared" si="5"/>
        <v>1</v>
      </c>
    </row>
    <row r="35" spans="1:29" ht="15">
      <c r="A35" s="607" t="s">
        <v>736</v>
      </c>
      <c r="B35" s="887"/>
      <c r="C35" s="2590" t="s">
        <v>1</v>
      </c>
      <c r="D35" s="2591"/>
      <c r="E35" s="2592"/>
      <c r="F35" s="2593"/>
      <c r="G35" s="2594"/>
      <c r="H35" s="2595"/>
      <c r="I35" s="2592"/>
      <c r="J35" s="2595"/>
      <c r="K35" s="1596"/>
      <c r="L35" s="2128"/>
      <c r="M35" s="2129"/>
      <c r="N35" s="2118"/>
      <c r="O35" s="2129"/>
      <c r="P35" s="3433" t="str">
        <f>A35</f>
        <v>成交单价（元/平方米）</v>
      </c>
      <c r="Q35" s="3433"/>
      <c r="R35" s="3550">
        <f>E35</f>
        <v>0</v>
      </c>
      <c r="S35" s="3550"/>
      <c r="T35" s="3550">
        <f>G35</f>
        <v>0</v>
      </c>
      <c r="U35" s="3550"/>
      <c r="V35" s="3550">
        <f>I35</f>
        <v>0</v>
      </c>
      <c r="W35" s="3550"/>
      <c r="X35" s="1545"/>
      <c r="Y35" s="1567"/>
      <c r="Z35" s="1545"/>
      <c r="AA35" s="1545"/>
      <c r="AB35" s="1545"/>
      <c r="AC35" s="1545"/>
    </row>
    <row r="36" spans="1:29" ht="15.75" thickBot="1">
      <c r="A36" s="615" t="s">
        <v>2758</v>
      </c>
      <c r="B36" s="888"/>
      <c r="C36" s="2596" t="e">
        <f>R37</f>
        <v>#DIV/0!</v>
      </c>
      <c r="D36" s="2597"/>
      <c r="E36" s="2598" t="e">
        <f>R36</f>
        <v>#DIV/0!</v>
      </c>
      <c r="F36" s="2598"/>
      <c r="G36" s="2596" t="e">
        <f>T36</f>
        <v>#DIV/0!</v>
      </c>
      <c r="H36" s="2597"/>
      <c r="I36" s="2598" t="e">
        <f>V36</f>
        <v>#DIV/0!</v>
      </c>
      <c r="J36" s="2597"/>
      <c r="K36" s="1597"/>
      <c r="L36" s="2128"/>
      <c r="M36" s="2129"/>
      <c r="N36" s="2118"/>
      <c r="O36" s="2129"/>
      <c r="P36" s="3433" t="str">
        <f>A36</f>
        <v>比较价格（元/平方米）</v>
      </c>
      <c r="Q36" s="3433"/>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45"/>
      <c r="Y36" s="1545"/>
      <c r="Z36" s="1545"/>
      <c r="AA36" s="1545"/>
      <c r="AB36" s="1545"/>
      <c r="AC36" s="1545"/>
    </row>
    <row r="37" spans="1:29" ht="15.75" thickBot="1">
      <c r="A37" s="621" t="s">
        <v>2934</v>
      </c>
      <c r="B37" s="622"/>
      <c r="C37" s="2599" t="e">
        <f>R37</f>
        <v>#DIV/0!</v>
      </c>
      <c r="D37" s="2599"/>
      <c r="E37" s="2599"/>
      <c r="F37" s="2599"/>
      <c r="G37" s="2599"/>
      <c r="H37" s="2599"/>
      <c r="I37" s="2599"/>
      <c r="J37" s="2599"/>
      <c r="K37" s="1598"/>
      <c r="L37" s="2128"/>
      <c r="M37" s="2129"/>
      <c r="N37" s="2129"/>
      <c r="O37" s="2129"/>
      <c r="P37" s="3430" t="str">
        <f>A37</f>
        <v>估价对象XX用房的比较价格（楼面单价，元/平方米）</v>
      </c>
      <c r="Q37" s="3431"/>
      <c r="R37" s="3549" t="e">
        <f>IF(F1="售价",ROUND(AVERAGE(R36:V36),0),ROUND(AVERAGE(R36:V36),1))</f>
        <v>#DIV/0!</v>
      </c>
      <c r="S37" s="3549"/>
      <c r="T37" s="3549"/>
      <c r="U37" s="3549"/>
      <c r="V37" s="3549"/>
      <c r="W37" s="3549"/>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2556</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2303</v>
      </c>
      <c r="C1" s="3563" t="s">
        <v>2304</v>
      </c>
      <c r="D1" s="3564"/>
      <c r="E1" s="3564"/>
      <c r="F1" s="3564"/>
      <c r="G1" s="3564"/>
      <c r="H1" s="3564"/>
      <c r="I1" s="3564"/>
      <c r="J1" s="3564"/>
      <c r="K1" s="3564"/>
      <c r="L1" s="3564"/>
      <c r="M1" s="3564"/>
      <c r="N1" s="3564"/>
      <c r="O1" s="3564"/>
      <c r="P1" s="3564"/>
      <c r="Q1" s="3564"/>
      <c r="R1" s="3564"/>
      <c r="S1" s="3565"/>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60" t="s">
        <v>20</v>
      </c>
      <c r="D22" s="3561"/>
      <c r="E22" s="3561"/>
      <c r="F22" s="3561"/>
      <c r="G22" s="3561"/>
      <c r="H22" s="3561"/>
      <c r="I22" s="3561"/>
      <c r="J22" s="3561"/>
      <c r="K22" s="3561"/>
      <c r="L22" s="3561"/>
      <c r="M22" s="3561"/>
      <c r="N22" s="3561"/>
      <c r="O22" s="3561"/>
      <c r="P22" s="3561"/>
      <c r="Q22" s="356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43565</v>
      </c>
      <c r="H1" s="2892">
        <f>IF(C1&gt;C13,0,MATCH(C1,C$13:C$100,-1))+IF(SUMIF(C13:C100,C1,D13:D100)=0,13,12)</f>
        <v>13</v>
      </c>
      <c r="I1" s="2892">
        <f ca="1">MATCH(C2,H3:H7,1)+IF(SUMIF(H3:H7,C2,I3:I7)=0,2,1)</f>
        <v>6</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5</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C5" sqref="C5"/>
    </sheetView>
  </sheetViews>
  <sheetFormatPr defaultRowHeight="13.5"/>
  <cols>
    <col min="2" max="7" width="8.625" customWidth="1"/>
  </cols>
  <sheetData>
    <row r="1" spans="1:7" ht="16.5" customHeight="1">
      <c r="A1" s="3566" t="s">
        <v>3273</v>
      </c>
      <c r="B1" s="3566"/>
      <c r="C1" s="3566"/>
      <c r="D1" s="3566"/>
      <c r="E1" s="3566"/>
      <c r="F1" s="3566"/>
      <c r="G1" s="3566"/>
    </row>
    <row r="2" spans="1:7" ht="16.5" customHeight="1">
      <c r="A2" s="3566" t="s">
        <v>3274</v>
      </c>
      <c r="B2" s="3566" t="s">
        <v>3277</v>
      </c>
      <c r="C2" s="3566"/>
      <c r="D2" s="3566" t="s">
        <v>3278</v>
      </c>
      <c r="E2" s="3566"/>
      <c r="F2" s="3566" t="s">
        <v>3279</v>
      </c>
      <c r="G2" s="3566"/>
    </row>
    <row r="3" spans="1:7" ht="16.5" customHeight="1">
      <c r="A3" s="3566"/>
      <c r="B3" s="3194" t="s">
        <v>3275</v>
      </c>
      <c r="C3" s="3194" t="s">
        <v>3276</v>
      </c>
      <c r="D3" s="3194" t="s">
        <v>3275</v>
      </c>
      <c r="E3" s="3194" t="s">
        <v>3276</v>
      </c>
      <c r="F3" s="3194" t="s">
        <v>3275</v>
      </c>
      <c r="G3" s="3194" t="s">
        <v>3276</v>
      </c>
    </row>
    <row r="4" spans="1:7" ht="16.5" customHeight="1">
      <c r="A4" s="3193">
        <v>2016.4</v>
      </c>
      <c r="B4" s="3193">
        <v>6850</v>
      </c>
      <c r="C4" s="3193">
        <v>5.71</v>
      </c>
      <c r="D4" s="3193">
        <v>11440</v>
      </c>
      <c r="E4" s="3193">
        <v>2.72</v>
      </c>
      <c r="F4" s="3193">
        <v>4139</v>
      </c>
      <c r="G4" s="3193">
        <v>4.18</v>
      </c>
    </row>
    <row r="5" spans="1:7" ht="16.5" customHeight="1">
      <c r="A5" s="3193">
        <v>2017.1</v>
      </c>
      <c r="B5" s="3193">
        <v>7116</v>
      </c>
      <c r="C5" s="3193">
        <v>3.88</v>
      </c>
      <c r="D5" s="3193">
        <v>11734</v>
      </c>
      <c r="E5" s="3193">
        <v>2.57</v>
      </c>
      <c r="F5" s="3193">
        <v>4284</v>
      </c>
      <c r="G5" s="3193">
        <v>3.5</v>
      </c>
    </row>
    <row r="6" spans="1:7" ht="16.5" customHeight="1">
      <c r="A6" s="3193">
        <v>2017.2</v>
      </c>
      <c r="B6" s="3193">
        <v>7604</v>
      </c>
      <c r="C6" s="3193">
        <v>6.86</v>
      </c>
      <c r="D6" s="3193">
        <v>12016</v>
      </c>
      <c r="E6" s="3193">
        <v>2.4</v>
      </c>
      <c r="F6" s="3193">
        <v>4508</v>
      </c>
      <c r="G6" s="3193">
        <v>5.23</v>
      </c>
    </row>
    <row r="7" spans="1:7" ht="16.5" customHeight="1">
      <c r="A7" s="3193">
        <v>2017.3</v>
      </c>
      <c r="B7" s="3193">
        <v>17272</v>
      </c>
      <c r="C7" s="3193">
        <v>4</v>
      </c>
      <c r="D7" s="3193">
        <v>18022</v>
      </c>
      <c r="E7" s="3193">
        <v>2</v>
      </c>
      <c r="F7" s="3193">
        <v>11252</v>
      </c>
      <c r="G7" s="3193">
        <v>3.21</v>
      </c>
    </row>
    <row r="8" spans="1:7" ht="16.5" customHeight="1">
      <c r="A8" s="3193">
        <v>2017.4</v>
      </c>
      <c r="B8" s="3193">
        <v>17456</v>
      </c>
      <c r="C8" s="3193">
        <v>1.07</v>
      </c>
      <c r="D8" s="3193">
        <v>18107</v>
      </c>
      <c r="E8" s="3193">
        <v>0.47</v>
      </c>
      <c r="F8" s="3193">
        <v>11346</v>
      </c>
      <c r="G8" s="3193">
        <v>0.84</v>
      </c>
    </row>
    <row r="9" spans="1:7" ht="16.5" customHeight="1">
      <c r="A9" s="3193">
        <v>2018.1</v>
      </c>
      <c r="B9" s="3193">
        <v>17998</v>
      </c>
      <c r="C9" s="3193">
        <v>3.1</v>
      </c>
      <c r="D9" s="3193">
        <v>18531</v>
      </c>
      <c r="E9" s="3193">
        <v>2.34</v>
      </c>
      <c r="F9" s="3193">
        <v>11661</v>
      </c>
      <c r="G9" s="3193">
        <v>2.78</v>
      </c>
    </row>
    <row r="10" spans="1:7" ht="16.5" customHeight="1">
      <c r="A10" s="3193">
        <v>2018.2</v>
      </c>
      <c r="B10" s="3193">
        <v>18702</v>
      </c>
      <c r="C10" s="3193">
        <v>3.91</v>
      </c>
      <c r="D10" s="3193">
        <v>19010</v>
      </c>
      <c r="E10" s="3193">
        <v>2.58</v>
      </c>
      <c r="F10" s="3193">
        <v>12054</v>
      </c>
      <c r="G10" s="3193">
        <v>3.37</v>
      </c>
    </row>
    <row r="11" spans="1:7" ht="16.5" customHeight="1">
      <c r="A11" s="3193">
        <v>2018.3</v>
      </c>
      <c r="B11" s="3193">
        <v>18853</v>
      </c>
      <c r="C11" s="3193">
        <v>0.81</v>
      </c>
      <c r="D11" s="3193">
        <v>19095</v>
      </c>
      <c r="E11" s="3193">
        <v>0.45</v>
      </c>
      <c r="F11" s="3193">
        <v>12135</v>
      </c>
      <c r="G11" s="3193">
        <v>0.67</v>
      </c>
    </row>
    <row r="12" spans="1:7" ht="16.5" customHeight="1">
      <c r="A12" s="3193">
        <v>2018.4</v>
      </c>
      <c r="B12" s="3193">
        <v>18860</v>
      </c>
      <c r="C12" s="3193">
        <v>0.04</v>
      </c>
      <c r="D12" s="3193">
        <v>19084</v>
      </c>
      <c r="E12" s="3193">
        <v>-0.06</v>
      </c>
      <c r="F12" s="3193">
        <v>12135</v>
      </c>
      <c r="G12" s="3193">
        <v>0</v>
      </c>
    </row>
  </sheetData>
  <mergeCells count="5">
    <mergeCell ref="A1:G1"/>
    <mergeCell ref="B2:C2"/>
    <mergeCell ref="D2:E2"/>
    <mergeCell ref="F2:G2"/>
    <mergeCell ref="A2:A3"/>
  </mergeCells>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G1" workbookViewId="0">
      <selection activeCell="T31" sqref="T31"/>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791" t="s">
        <v>2040</v>
      </c>
      <c r="B2" s="1791"/>
      <c r="C2" s="1791"/>
      <c r="D2" s="1791"/>
      <c r="E2" s="1791"/>
      <c r="F2" s="1791"/>
      <c r="G2" s="1791"/>
      <c r="H2" s="1791"/>
      <c r="I2" s="1792"/>
      <c r="J2" s="1792"/>
      <c r="K2" s="1793" t="str">
        <f>"估价期日："&amp;TEXT(项目基本情况!D3,"yyyy年m月d日;;")</f>
        <v>估价期日：2019年4月10日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9" t="s">
        <v>2029</v>
      </c>
      <c r="B3" s="3239" t="s">
        <v>2729</v>
      </c>
      <c r="C3" s="3240" t="s">
        <v>2030</v>
      </c>
      <c r="D3" s="3239" t="s">
        <v>2733</v>
      </c>
      <c r="E3" s="3234" t="s">
        <v>2031</v>
      </c>
      <c r="F3" s="3234"/>
      <c r="G3" s="3234"/>
      <c r="H3" s="3234" t="s">
        <v>2032</v>
      </c>
      <c r="I3" s="3234"/>
      <c r="J3" s="3234"/>
      <c r="K3" s="3240" t="s">
        <v>2033</v>
      </c>
      <c r="L3" s="3240" t="s">
        <v>2034</v>
      </c>
      <c r="M3" s="3239" t="s">
        <v>2730</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12" t="s">
        <v>2042</v>
      </c>
      <c r="F4" s="2612" t="s">
        <v>2742</v>
      </c>
      <c r="G4" s="2612" t="s">
        <v>2036</v>
      </c>
      <c r="H4" s="2612" t="s">
        <v>2037</v>
      </c>
      <c r="I4" s="2612" t="s">
        <v>2743</v>
      </c>
      <c r="J4" s="2612" t="s">
        <v>2036</v>
      </c>
      <c r="K4" s="3240"/>
      <c r="L4" s="3240"/>
      <c r="M4" s="3239"/>
      <c r="N4" s="3241"/>
      <c r="O4" s="3239"/>
      <c r="P4" s="3240"/>
      <c r="Q4" s="3240"/>
      <c r="R4" s="3240"/>
    </row>
    <row r="5" spans="1:18" ht="135" customHeight="1">
      <c r="A5" s="1927" t="s">
        <v>2653</v>
      </c>
      <c r="B5" s="2821" t="s">
        <v>2651</v>
      </c>
      <c r="C5" s="2611">
        <v>22</v>
      </c>
      <c r="D5" s="2610" t="s">
        <v>2652</v>
      </c>
      <c r="E5" s="1794">
        <f>项目基本情况!B12</f>
        <v>0</v>
      </c>
      <c r="F5" s="2610">
        <v>258</v>
      </c>
      <c r="G5" s="1794" t="str">
        <f>项目基本情况!B13</f>
        <v>住宅、商业</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t="str">
        <f>IF(项目基本情况!B16="出让",项目基本情况!D20,"——")</f>
        <v>住宅64.4年、商业34.4年</v>
      </c>
      <c r="N5" s="1794">
        <f>项目基本情况!C22</f>
        <v>259503</v>
      </c>
      <c r="O5" s="1794">
        <f>项目基本情况!C21</f>
        <v>311402</v>
      </c>
      <c r="P5" s="1794">
        <f ca="1">结果表!E42</f>
        <v>2118</v>
      </c>
      <c r="Q5" s="1794">
        <f ca="1">结果表!D42</f>
        <v>1765</v>
      </c>
      <c r="R5" s="1795">
        <f ca="1">结果表!C42</f>
        <v>54950</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6">
        <f ca="1">结果表!O39</f>
        <v>54950</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6"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3" t="s">
        <v>2065</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2066</v>
      </c>
      <c r="B5" s="3242"/>
      <c r="C5" s="3242"/>
      <c r="D5" s="3242"/>
    </row>
    <row r="6" spans="1:4">
      <c r="A6" s="3243" t="s">
        <v>2044</v>
      </c>
      <c r="B6" s="3243"/>
      <c r="C6" s="3243"/>
      <c r="D6" s="3243"/>
    </row>
    <row r="7" spans="1:4" ht="33" customHeight="1">
      <c r="A7" s="3243" t="s">
        <v>2574</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2068</v>
      </c>
      <c r="B12" s="3242"/>
      <c r="C12" s="3242"/>
      <c r="D12" s="3242"/>
    </row>
    <row r="13" spans="1:4">
      <c r="A13" s="3246" t="s">
        <v>2744</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2700</v>
      </c>
      <c r="B17" s="3243"/>
      <c r="C17" s="3243"/>
      <c r="D17" s="3243"/>
    </row>
    <row r="18" spans="1:4">
      <c r="A18" s="3243" t="s">
        <v>2692</v>
      </c>
      <c r="B18" s="3243"/>
      <c r="C18" s="3243"/>
      <c r="D18" s="3243"/>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243" t="s">
        <v>2697</v>
      </c>
      <c r="B23" s="3243"/>
      <c r="C23" s="3243"/>
      <c r="D23" s="3243"/>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43567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f ca="1">IF(C11&lt;B2,"已过期",1120100036)</f>
        <v>1120100036</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2980</v>
      </c>
      <c r="B14" s="3131">
        <f ca="1">IF(C14&lt;B2,"已过期",1120040230)</f>
        <v>1120040230</v>
      </c>
      <c r="C14" s="3135">
        <v>43835</v>
      </c>
      <c r="D14" s="3136" t="s">
        <v>2981</v>
      </c>
      <c r="E14" s="3131">
        <f ca="1">IF(F14&lt;B2,"已过期",98030020)</f>
        <v>98030020</v>
      </c>
      <c r="F14" s="3134">
        <v>47118</v>
      </c>
    </row>
    <row r="15" spans="1:6" ht="20.25" customHeight="1">
      <c r="A15" s="3131" t="s">
        <v>2573</v>
      </c>
      <c r="B15" s="3131">
        <f ca="1">IF(C15&lt;B2,"已过期",1120070085)</f>
        <v>1120070085</v>
      </c>
      <c r="C15" s="3135">
        <v>43814</v>
      </c>
      <c r="D15" s="3131" t="s">
        <v>2982</v>
      </c>
      <c r="E15" s="3131">
        <f ca="1">IF(F15&lt;B2,"已过期",2004110128)</f>
        <v>2004110128</v>
      </c>
      <c r="F15" s="3137">
        <v>47118</v>
      </c>
    </row>
    <row r="16" spans="1:6" ht="20.25" customHeight="1">
      <c r="A16" s="3131" t="s">
        <v>1923</v>
      </c>
      <c r="B16" s="3131">
        <f ca="1">IF(C16&lt;B2,"已过期",1120140022)</f>
        <v>1120140022</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2942</v>
      </c>
      <c r="F29" s="3146">
        <v>43281</v>
      </c>
    </row>
    <row r="30" spans="1:7" ht="20.25" customHeight="1">
      <c r="C30" s="3147"/>
      <c r="D30" s="3147"/>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c r="D53" s="1751"/>
      <c r="E53" s="1751"/>
    </row>
    <row r="54" spans="1:5">
      <c r="A54" s="326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土地案例（田横）</vt:lpstr>
      <vt:lpstr>剩余法-待开发</vt:lpstr>
      <vt:lpstr>酒店收入计算</vt:lpstr>
      <vt:lpstr>成本逼近法</vt:lpstr>
      <vt:lpstr>不动产收益法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项目定位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2019-04-12T03:33:52Z</dcterms:modified>
</cp:coreProperties>
</file>