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codeName="ThisWorkbook" defaultThemeVersion="124226"/>
  <mc:AlternateContent xmlns:mc="http://schemas.openxmlformats.org/markup-compatibility/2006">
    <mc:Choice Requires="x15">
      <x15ac:absPath xmlns:x15ac="http://schemas.microsoft.com/office/spreadsheetml/2010/11/ac" url="/Users/chang/Desktop/顺义22街区/"/>
    </mc:Choice>
  </mc:AlternateContent>
  <xr:revisionPtr revIDLastSave="0" documentId="13_ncr:1_{21F266B0-725D-8A4D-8AA5-D8BD6FBBB17F}" xr6:coauthVersionLast="47" xr6:coauthVersionMax="47" xr10:uidLastSave="{00000000-0000-0000-0000-000000000000}"/>
  <bookViews>
    <workbookView xWindow="0" yWindow="500" windowWidth="17620" windowHeight="17180" tabRatio="875" firstSheet="2"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规划条件" sheetId="69" r:id="rId31"/>
    <sheet name="Sheet2" sheetId="71" r:id="rId32"/>
    <sheet name="Sheet1" sheetId="70" r:id="rId33"/>
    <sheet name="不动产收益法-酒店模型" sheetId="68" state="hidden" r:id="rId34"/>
    <sheet name="酒店收入计算" sheetId="57" state="hidden" r:id="rId35"/>
    <sheet name="成本逼近法" sheetId="11" state="hidden" r:id="rId36"/>
    <sheet name="不动产比较法-住宅" sheetId="21" state="hidden" r:id="rId37"/>
    <sheet name="不动产比较法-商业" sheetId="33"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3" i="43" l="1"/>
  <c r="F42" i="43"/>
  <c r="E16" i="71" l="1"/>
  <c r="D16" i="71"/>
  <c r="E14" i="71"/>
  <c r="E13" i="71"/>
  <c r="D12" i="71"/>
  <c r="D15" i="71" s="1"/>
  <c r="N19" i="69"/>
  <c r="N18" i="69"/>
  <c r="K13" i="3" s="1"/>
  <c r="F19" i="6" s="1"/>
  <c r="N17" i="69"/>
  <c r="I13" i="3" s="1"/>
  <c r="F20" i="6" s="1"/>
  <c r="AH7" i="1" s="1"/>
  <c r="N15" i="69"/>
  <c r="E15" i="71" l="1"/>
  <c r="B27" i="69" l="1"/>
  <c r="A3" i="3" l="1"/>
  <c r="B22" i="69" s="1"/>
  <c r="D11" i="71" s="1"/>
  <c r="I17" i="4"/>
  <c r="C14" i="69"/>
  <c r="N14" i="69" l="1"/>
  <c r="P17" i="69" s="1"/>
  <c r="C27" i="69"/>
  <c r="E11" i="71"/>
  <c r="E17" i="71" s="1"/>
  <c r="D17" i="71"/>
  <c r="B29" i="69"/>
  <c r="B20" i="6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B25" i="59" s="1"/>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E24" i="59" s="1"/>
  <c r="E23" i="59" s="1"/>
  <c r="E22" i="59" s="1"/>
  <c r="E21" i="59" s="1"/>
  <c r="E20" i="59" s="1"/>
  <c r="E19" i="59" s="1"/>
  <c r="E18"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B41" i="63" s="1"/>
  <c r="A23" i="51"/>
  <c r="B17" i="63" s="1"/>
  <c r="Y12" i="46"/>
  <c r="AA9" i="46"/>
  <c r="AB9" i="46"/>
  <c r="AB10" i="46" s="1"/>
  <c r="AC9" i="46"/>
  <c r="AD9" i="46"/>
  <c r="AD10" i="46" s="1"/>
  <c r="AE9" i="46"/>
  <c r="AE10" i="46" s="1"/>
  <c r="AF9" i="46"/>
  <c r="AF10" i="46" s="1"/>
  <c r="AG9" i="46"/>
  <c r="AG12" i="46" s="1"/>
  <c r="AH9" i="46"/>
  <c r="AH10" i="46" s="1"/>
  <c r="AI9" i="46"/>
  <c r="AJ9" i="46"/>
  <c r="AJ10" i="46"/>
  <c r="Z9" i="46"/>
  <c r="Z12" i="46" s="1"/>
  <c r="AG10" i="46"/>
  <c r="AC10" i="46"/>
  <c r="Y10" i="46"/>
  <c r="AC12" i="46"/>
  <c r="B73" i="63"/>
  <c r="A21" i="64"/>
  <c r="B75" i="63" s="1"/>
  <c r="A27" i="64"/>
  <c r="A15" i="64"/>
  <c r="A14" i="64"/>
  <c r="A11" i="64"/>
  <c r="A3" i="64"/>
  <c r="A45" i="9"/>
  <c r="K40" i="9" s="1"/>
  <c r="A44" i="9"/>
  <c r="K39" i="9" s="1"/>
  <c r="C57" i="10"/>
  <c r="A28" i="51" s="1"/>
  <c r="N4" i="63" s="1"/>
  <c r="C56" i="10"/>
  <c r="A26" i="51" s="1"/>
  <c r="B19" i="63" s="1"/>
  <c r="C55" i="10"/>
  <c r="C54" i="10"/>
  <c r="B44" i="63"/>
  <c r="B40" i="63"/>
  <c r="B30" i="63"/>
  <c r="B27" i="63"/>
  <c r="B25" i="63"/>
  <c r="A11" i="51"/>
  <c r="B10" i="63" s="1"/>
  <c r="A26" i="64"/>
  <c r="B58" i="63"/>
  <c r="B53"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c r="A4" i="55"/>
  <c r="B57" i="63" s="1"/>
  <c r="G5" i="54"/>
  <c r="B34" i="63" s="1"/>
  <c r="E5" i="54"/>
  <c r="B32" i="63" s="1"/>
  <c r="R2" i="54"/>
  <c r="B24" i="63" s="1"/>
  <c r="B49" i="50"/>
  <c r="B5" i="63"/>
  <c r="B40" i="50"/>
  <c r="B3" i="63" s="1"/>
  <c r="B67" i="63"/>
  <c r="I19" i="46"/>
  <c r="Q29" i="59"/>
  <c r="P29" i="59"/>
  <c r="O29" i="59"/>
  <c r="N29" i="59"/>
  <c r="D90" i="59"/>
  <c r="F89" i="59"/>
  <c r="F88" i="59" s="1"/>
  <c r="F87" i="59" s="1"/>
  <c r="E89" i="59"/>
  <c r="E88" i="59" s="1"/>
  <c r="E87" i="59" s="1"/>
  <c r="C89" i="59"/>
  <c r="B89" i="59"/>
  <c r="B88" i="59" s="1"/>
  <c r="B87" i="59" s="1"/>
  <c r="D86" i="59"/>
  <c r="F85" i="59"/>
  <c r="F84" i="59" s="1"/>
  <c r="F83" i="59" s="1"/>
  <c r="E85" i="59"/>
  <c r="E84" i="59" s="1"/>
  <c r="E83" i="59" s="1"/>
  <c r="C85" i="59"/>
  <c r="C84" i="59" s="1"/>
  <c r="B85" i="59"/>
  <c r="B84" i="59"/>
  <c r="B83" i="59" s="1"/>
  <c r="D82" i="59"/>
  <c r="Q81" i="59"/>
  <c r="P81" i="59"/>
  <c r="O81" i="59"/>
  <c r="N81" i="59"/>
  <c r="F81" i="59"/>
  <c r="V81" i="59" s="1"/>
  <c r="E81" i="59"/>
  <c r="U81" i="59" s="1"/>
  <c r="C81" i="59"/>
  <c r="T81" i="59"/>
  <c r="B81" i="59"/>
  <c r="S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B76" i="59"/>
  <c r="B75" i="59" s="1"/>
  <c r="Q75" i="59"/>
  <c r="P75" i="59"/>
  <c r="O75" i="59"/>
  <c r="N75" i="59"/>
  <c r="Q74" i="59"/>
  <c r="P74" i="59"/>
  <c r="O74" i="59"/>
  <c r="N74" i="59"/>
  <c r="D74" i="59"/>
  <c r="Q73" i="59"/>
  <c r="P73" i="59"/>
  <c r="O73" i="59"/>
  <c r="N73" i="59"/>
  <c r="F73" i="59"/>
  <c r="V73" i="59"/>
  <c r="E73" i="59"/>
  <c r="U73" i="59"/>
  <c r="C73" i="59"/>
  <c r="T73" i="59" s="1"/>
  <c r="B73" i="59"/>
  <c r="S73" i="59"/>
  <c r="Q72" i="59"/>
  <c r="P72" i="59"/>
  <c r="O72" i="59"/>
  <c r="N72" i="59"/>
  <c r="F72" i="59"/>
  <c r="F71" i="59"/>
  <c r="B72" i="59"/>
  <c r="B71" i="59"/>
  <c r="Q71" i="59"/>
  <c r="P71" i="59"/>
  <c r="O71" i="59"/>
  <c r="N71" i="59"/>
  <c r="Q70" i="59"/>
  <c r="P70" i="59"/>
  <c r="O70" i="59"/>
  <c r="N70" i="59"/>
  <c r="D70" i="59"/>
  <c r="F69" i="59"/>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O42" i="59"/>
  <c r="C43" i="59" s="1"/>
  <c r="N42" i="59"/>
  <c r="B43" i="59" s="1"/>
  <c r="D42" i="59"/>
  <c r="Q41" i="59"/>
  <c r="P41" i="59"/>
  <c r="O41" i="59"/>
  <c r="N41" i="59"/>
  <c r="Q40" i="59"/>
  <c r="P40" i="59"/>
  <c r="O40" i="59"/>
  <c r="Y40" i="59" s="1"/>
  <c r="Z40" i="59" s="1"/>
  <c r="N40" i="59"/>
  <c r="Q39" i="59"/>
  <c r="P39" i="59"/>
  <c r="O39" i="59"/>
  <c r="N39" i="59"/>
  <c r="Q38" i="59"/>
  <c r="AB38" i="59" s="1"/>
  <c r="P38" i="59"/>
  <c r="AA38" i="59" s="1"/>
  <c r="O38" i="59"/>
  <c r="C39" i="59"/>
  <c r="C40" i="59" s="1"/>
  <c r="D40" i="59" s="1"/>
  <c r="N38" i="59"/>
  <c r="B39" i="59" s="1"/>
  <c r="B40" i="59" s="1"/>
  <c r="B41" i="59" s="1"/>
  <c r="S41" i="59" s="1"/>
  <c r="D38" i="59"/>
  <c r="Q37" i="59"/>
  <c r="P37" i="59"/>
  <c r="O37" i="59"/>
  <c r="N37" i="59"/>
  <c r="Q36" i="59"/>
  <c r="P36" i="59"/>
  <c r="O36" i="59"/>
  <c r="N36" i="59"/>
  <c r="Q35" i="59"/>
  <c r="P35" i="59"/>
  <c r="O35" i="59"/>
  <c r="N35" i="59"/>
  <c r="Q34" i="59"/>
  <c r="P34" i="59"/>
  <c r="E35" i="59" s="1"/>
  <c r="E36" i="59" s="1"/>
  <c r="O34" i="59"/>
  <c r="N34" i="59"/>
  <c r="D34" i="59"/>
  <c r="Q33" i="59"/>
  <c r="P33" i="59"/>
  <c r="O33" i="59"/>
  <c r="N33" i="59"/>
  <c r="Q32" i="59"/>
  <c r="P32" i="59"/>
  <c r="O32" i="59"/>
  <c r="N32" i="59"/>
  <c r="Q31" i="59"/>
  <c r="P31" i="59"/>
  <c r="O31" i="59"/>
  <c r="N31" i="59"/>
  <c r="Q30" i="59"/>
  <c r="P30" i="59"/>
  <c r="E31" i="59" s="1"/>
  <c r="E32" i="59" s="1"/>
  <c r="E33" i="59" s="1"/>
  <c r="U33" i="59" s="1"/>
  <c r="O30" i="59"/>
  <c r="C31" i="59"/>
  <c r="N30" i="59"/>
  <c r="B31" i="59"/>
  <c r="B32" i="59" s="1"/>
  <c r="D30" i="59"/>
  <c r="B33" i="59"/>
  <c r="S33" i="59" s="1"/>
  <c r="F44" i="59"/>
  <c r="F45" i="59" s="1"/>
  <c r="V45" i="59" s="1"/>
  <c r="D31" i="59"/>
  <c r="C48" i="59"/>
  <c r="D48" i="59" s="1"/>
  <c r="C60" i="59"/>
  <c r="C61" i="59" s="1"/>
  <c r="E67" i="59"/>
  <c r="P66" i="59" s="1"/>
  <c r="T69" i="59"/>
  <c r="O69" i="59"/>
  <c r="D69" i="59"/>
  <c r="C68" i="59"/>
  <c r="P69" i="59"/>
  <c r="U69" i="59"/>
  <c r="C72" i="59"/>
  <c r="E72" i="59"/>
  <c r="E71" i="59" s="1"/>
  <c r="D73" i="59"/>
  <c r="E76" i="59"/>
  <c r="E75" i="59" s="1"/>
  <c r="C80" i="59"/>
  <c r="D80" i="59" s="1"/>
  <c r="E80" i="59"/>
  <c r="E79" i="59" s="1"/>
  <c r="D81" i="59"/>
  <c r="U16" i="4"/>
  <c r="S16" i="4"/>
  <c r="Q16" i="4"/>
  <c r="O16" i="4"/>
  <c r="M16" i="4"/>
  <c r="K16" i="4"/>
  <c r="C79" i="59"/>
  <c r="D79" i="59" s="1"/>
  <c r="D72" i="59"/>
  <c r="C71" i="59"/>
  <c r="D71" i="59" s="1"/>
  <c r="C67" i="59"/>
  <c r="D67" i="59" s="1"/>
  <c r="O68" i="59"/>
  <c r="D68" i="59"/>
  <c r="D60" i="59"/>
  <c r="C41" i="59"/>
  <c r="D41" i="59" s="1"/>
  <c r="O67" i="59"/>
  <c r="O66" i="59"/>
  <c r="O27" i="6"/>
  <c r="N27" i="6"/>
  <c r="P26" i="6"/>
  <c r="L26" i="6"/>
  <c r="P25" i="6"/>
  <c r="L25" i="6"/>
  <c r="P24" i="6"/>
  <c r="L24" i="6"/>
  <c r="P23" i="6"/>
  <c r="L23" i="6"/>
  <c r="P22" i="6"/>
  <c r="L22" i="6"/>
  <c r="P21" i="6"/>
  <c r="L21" i="6"/>
  <c r="P20" i="6"/>
  <c r="P19" i="6"/>
  <c r="Q18" i="36"/>
  <c r="Z18" i="36" s="1"/>
  <c r="C18" i="36"/>
  <c r="D66" i="36"/>
  <c r="F18" i="36"/>
  <c r="AA18" i="36" s="1"/>
  <c r="Z18" i="35"/>
  <c r="Q18" i="35"/>
  <c r="F18" i="35"/>
  <c r="C18" i="35"/>
  <c r="D68" i="35"/>
  <c r="E68" i="35"/>
  <c r="F68" i="35" s="1"/>
  <c r="G68" i="35" s="1"/>
  <c r="Q21" i="37"/>
  <c r="Z21" i="37" s="1"/>
  <c r="F21" i="37"/>
  <c r="S21" i="37" s="1"/>
  <c r="C21" i="37"/>
  <c r="E77" i="37"/>
  <c r="F77" i="37" s="1"/>
  <c r="G77" i="37" s="1"/>
  <c r="D77" i="37"/>
  <c r="Z21" i="34"/>
  <c r="Q21" i="34"/>
  <c r="C21" i="34"/>
  <c r="D84" i="34"/>
  <c r="F21" i="34"/>
  <c r="Q21" i="33"/>
  <c r="Z21" i="33" s="1"/>
  <c r="C21" i="33"/>
  <c r="D83" i="33"/>
  <c r="E83" i="33"/>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s="1"/>
  <c r="C22" i="20"/>
  <c r="B54" i="46" s="1"/>
  <c r="S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s="1"/>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L108" i="46" s="1"/>
  <c r="M99" i="46"/>
  <c r="M108" i="46" s="1"/>
  <c r="N99" i="46"/>
  <c r="N108" i="46"/>
  <c r="C99" i="46"/>
  <c r="C108" i="46" s="1"/>
  <c r="K58" i="46"/>
  <c r="J58" i="46" s="1"/>
  <c r="D58" i="46"/>
  <c r="K50" i="46"/>
  <c r="D83" i="46"/>
  <c r="D77" i="46"/>
  <c r="B83" i="46"/>
  <c r="B82" i="46"/>
  <c r="B71" i="46"/>
  <c r="B60" i="46"/>
  <c r="B49" i="46"/>
  <c r="M87" i="46"/>
  <c r="N87" i="46"/>
  <c r="K87" i="46"/>
  <c r="J87" i="46"/>
  <c r="D87" i="46"/>
  <c r="M86" i="46"/>
  <c r="N86" i="46" s="1"/>
  <c r="D86" i="46"/>
  <c r="K86" i="46"/>
  <c r="J86" i="46" s="1"/>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c r="M66" i="46"/>
  <c r="N66" i="46" s="1"/>
  <c r="K66" i="46"/>
  <c r="M65" i="46"/>
  <c r="N65" i="46" s="1"/>
  <c r="K65" i="46"/>
  <c r="J65" i="46" s="1"/>
  <c r="D65" i="46"/>
  <c r="M64" i="46"/>
  <c r="N64" i="46"/>
  <c r="K64" i="46"/>
  <c r="J64" i="46" s="1"/>
  <c r="D64" i="46"/>
  <c r="M63" i="46"/>
  <c r="N63" i="46" s="1"/>
  <c r="K63" i="46"/>
  <c r="J63" i="46" s="1"/>
  <c r="D63" i="46"/>
  <c r="M62" i="46"/>
  <c r="N62" i="46" s="1"/>
  <c r="K62" i="46"/>
  <c r="J62" i="46"/>
  <c r="D62" i="46"/>
  <c r="M61" i="46"/>
  <c r="N61" i="46" s="1"/>
  <c r="K61" i="46"/>
  <c r="J61" i="46" s="1"/>
  <c r="D61" i="46"/>
  <c r="M60" i="46"/>
  <c r="N60" i="46"/>
  <c r="K60" i="46"/>
  <c r="J60" i="46" s="1"/>
  <c r="D60" i="46"/>
  <c r="M59" i="46"/>
  <c r="N59" i="46" s="1"/>
  <c r="K59" i="46"/>
  <c r="J59" i="46" s="1"/>
  <c r="D59" i="46"/>
  <c r="M58" i="46"/>
  <c r="N58" i="46"/>
  <c r="M55" i="46"/>
  <c r="N55" i="46" s="1"/>
  <c r="K55" i="46"/>
  <c r="J55" i="46"/>
  <c r="M54" i="46"/>
  <c r="N54" i="46" s="1"/>
  <c r="K54" i="46"/>
  <c r="M53" i="46"/>
  <c r="N53" i="46" s="1"/>
  <c r="K53" i="46"/>
  <c r="J53" i="46" s="1"/>
  <c r="D53" i="46"/>
  <c r="M52" i="46"/>
  <c r="N52" i="46"/>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K13" i="1" s="1"/>
  <c r="M13" i="1" s="1"/>
  <c r="O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A105" i="3" s="1"/>
  <c r="BF105" i="3"/>
  <c r="BE105" i="3"/>
  <c r="BD105" i="3"/>
  <c r="BC105" i="3"/>
  <c r="BB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A84" i="3" s="1"/>
  <c r="BB84" i="3"/>
  <c r="AX84" i="3"/>
  <c r="AW84" i="3"/>
  <c r="AV84" i="3"/>
  <c r="AC84" i="3"/>
  <c r="G84" i="3" s="1"/>
  <c r="H84" i="3"/>
  <c r="BT83" i="3"/>
  <c r="BS83" i="3"/>
  <c r="BR83" i="3"/>
  <c r="BQ83" i="3"/>
  <c r="BP83" i="3"/>
  <c r="BO83" i="3"/>
  <c r="BN83" i="3"/>
  <c r="BM83" i="3"/>
  <c r="BK83" i="3"/>
  <c r="BJ83" i="3"/>
  <c r="BI83" i="3"/>
  <c r="BH83" i="3"/>
  <c r="BG83" i="3"/>
  <c r="BF83" i="3"/>
  <c r="BE83" i="3"/>
  <c r="BD83" i="3"/>
  <c r="BA83" i="3" s="1"/>
  <c r="BC83" i="3"/>
  <c r="BB83" i="3"/>
  <c r="AX83" i="3"/>
  <c r="AW83" i="3"/>
  <c r="AV83" i="3"/>
  <c r="AC83" i="3"/>
  <c r="H83" i="3"/>
  <c r="G83" i="3" s="1"/>
  <c r="BT82" i="3"/>
  <c r="BS82" i="3"/>
  <c r="BL82" i="3" s="1"/>
  <c r="BR82" i="3"/>
  <c r="BQ82" i="3"/>
  <c r="BP82" i="3"/>
  <c r="BO82" i="3"/>
  <c r="BN82" i="3"/>
  <c r="BM82" i="3"/>
  <c r="BK82" i="3"/>
  <c r="BJ82" i="3"/>
  <c r="BI82" i="3"/>
  <c r="BH82" i="3"/>
  <c r="BG82" i="3"/>
  <c r="BF82" i="3"/>
  <c r="BE82" i="3"/>
  <c r="BD82" i="3"/>
  <c r="BC82" i="3"/>
  <c r="BB82" i="3"/>
  <c r="AX82" i="3"/>
  <c r="AW82" i="3"/>
  <c r="AV82" i="3"/>
  <c r="AC82" i="3"/>
  <c r="H82" i="3"/>
  <c r="G82" i="3" s="1"/>
  <c r="BT81" i="3"/>
  <c r="BS81" i="3"/>
  <c r="BL81" i="3" s="1"/>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A80" i="3" s="1"/>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A76" i="3" s="1"/>
  <c r="AZ76" i="3" s="1"/>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A58" i="3" s="1"/>
  <c r="BE58" i="3"/>
  <c r="BD58" i="3"/>
  <c r="BC58" i="3"/>
  <c r="BB58" i="3"/>
  <c r="AX58" i="3"/>
  <c r="AW58" i="3"/>
  <c r="AV58" i="3"/>
  <c r="AC58" i="3"/>
  <c r="H58" i="3"/>
  <c r="G58" i="3" s="1"/>
  <c r="BT57" i="3"/>
  <c r="BS57" i="3"/>
  <c r="BL57" i="3" s="1"/>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A56" i="3" s="1"/>
  <c r="BF56" i="3"/>
  <c r="BE56" i="3"/>
  <c r="BD56" i="3"/>
  <c r="BC56" i="3"/>
  <c r="BB56" i="3"/>
  <c r="AX56" i="3"/>
  <c r="AW56" i="3"/>
  <c r="AV56" i="3"/>
  <c r="AC56" i="3"/>
  <c r="G56" i="3" s="1"/>
  <c r="H56" i="3"/>
  <c r="BT55" i="3"/>
  <c r="BS55" i="3"/>
  <c r="BR55" i="3"/>
  <c r="BQ55" i="3"/>
  <c r="BP55" i="3"/>
  <c r="BO55" i="3"/>
  <c r="BN55" i="3"/>
  <c r="BM55" i="3"/>
  <c r="BL55" i="3" s="1"/>
  <c r="BK55" i="3"/>
  <c r="BJ55" i="3"/>
  <c r="BI55" i="3"/>
  <c r="BH55" i="3"/>
  <c r="BA55" i="3" s="1"/>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L41" i="3" s="1"/>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A40" i="3" s="1"/>
  <c r="BF40" i="3"/>
  <c r="BE40" i="3"/>
  <c r="BD40" i="3"/>
  <c r="BC40" i="3"/>
  <c r="BB40" i="3"/>
  <c r="AX40" i="3"/>
  <c r="AW40" i="3"/>
  <c r="AV40" i="3"/>
  <c r="AC40" i="3"/>
  <c r="G40" i="3" s="1"/>
  <c r="H40" i="3"/>
  <c r="BT39" i="3"/>
  <c r="BS39" i="3"/>
  <c r="BR39" i="3"/>
  <c r="BQ39" i="3"/>
  <c r="BP39" i="3"/>
  <c r="BO39" i="3"/>
  <c r="BN39" i="3"/>
  <c r="BM39" i="3"/>
  <c r="BL39" i="3" s="1"/>
  <c r="BK39" i="3"/>
  <c r="BJ39" i="3"/>
  <c r="BI39" i="3"/>
  <c r="BH39" i="3"/>
  <c r="BA39" i="3" s="1"/>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A32" i="3" s="1"/>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L29" i="3" s="1"/>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L24" i="3" s="1"/>
  <c r="BQ24" i="3"/>
  <c r="BP24" i="3"/>
  <c r="BO24" i="3"/>
  <c r="BN24" i="3"/>
  <c r="BM24" i="3"/>
  <c r="BK24" i="3"/>
  <c r="BJ24" i="3"/>
  <c r="BI24" i="3"/>
  <c r="BH24" i="3"/>
  <c r="BG24" i="3"/>
  <c r="BF24" i="3"/>
  <c r="BE24" i="3"/>
  <c r="BD24" i="3"/>
  <c r="BC24" i="3"/>
  <c r="BB24" i="3"/>
  <c r="AX24" i="3"/>
  <c r="AW24" i="3"/>
  <c r="AV24" i="3"/>
  <c r="AC24" i="3"/>
  <c r="H24" i="3"/>
  <c r="BT23" i="3"/>
  <c r="BS23" i="3"/>
  <c r="BR23" i="3"/>
  <c r="BL23" i="3" s="1"/>
  <c r="BQ23" i="3"/>
  <c r="BP23" i="3"/>
  <c r="BO23" i="3"/>
  <c r="BN23" i="3"/>
  <c r="BM23" i="3"/>
  <c r="BK23" i="3"/>
  <c r="BJ23" i="3"/>
  <c r="BI23" i="3"/>
  <c r="BH23" i="3"/>
  <c r="BG23" i="3"/>
  <c r="BF23" i="3"/>
  <c r="BE23" i="3"/>
  <c r="BD23" i="3"/>
  <c r="BC23" i="3"/>
  <c r="BB23" i="3"/>
  <c r="AX23" i="3"/>
  <c r="AW23" i="3"/>
  <c r="AV23" i="3"/>
  <c r="AC23" i="3"/>
  <c r="H23" i="3"/>
  <c r="BT22" i="3"/>
  <c r="BS22" i="3"/>
  <c r="BR22" i="3"/>
  <c r="BL22" i="3" s="1"/>
  <c r="BQ22" i="3"/>
  <c r="BP22" i="3"/>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L204" i="3" s="1"/>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A202" i="3" s="1"/>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A197" i="3" s="1"/>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A193" i="3" s="1"/>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A185" i="3" s="1"/>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A181" i="3" s="1"/>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L121" i="3" s="1"/>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A279" i="3" s="1"/>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L274" i="3" s="1"/>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L273" i="3" s="1"/>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L272" i="3" s="1"/>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L270" i="3" s="1"/>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A268" i="3" s="1"/>
  <c r="BC268" i="3"/>
  <c r="BB268" i="3"/>
  <c r="AX268" i="3"/>
  <c r="AW268" i="3"/>
  <c r="AV268" i="3"/>
  <c r="AC268" i="3"/>
  <c r="H268" i="3"/>
  <c r="G268" i="3"/>
  <c r="BT267" i="3"/>
  <c r="BS267" i="3"/>
  <c r="BR267" i="3"/>
  <c r="BQ267" i="3"/>
  <c r="BP267" i="3"/>
  <c r="BO267" i="3"/>
  <c r="BN267" i="3"/>
  <c r="BM267" i="3"/>
  <c r="BK267" i="3"/>
  <c r="BJ267" i="3"/>
  <c r="BI267" i="3"/>
  <c r="BH267" i="3"/>
  <c r="BG267" i="3"/>
  <c r="BF267" i="3"/>
  <c r="BE267" i="3"/>
  <c r="BA267" i="3" s="1"/>
  <c r="BD267" i="3"/>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A264" i="3" s="1"/>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A261" i="3" s="1"/>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L258" i="3" s="1"/>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A256" i="3" s="1"/>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A253" i="3" s="1"/>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G249" i="3" s="1"/>
  <c r="H249" i="3"/>
  <c r="BT248" i="3"/>
  <c r="BS248" i="3"/>
  <c r="BR248" i="3"/>
  <c r="BQ248" i="3"/>
  <c r="BP248" i="3"/>
  <c r="BO248" i="3"/>
  <c r="BN248" i="3"/>
  <c r="BM248" i="3"/>
  <c r="BK248" i="3"/>
  <c r="BA248" i="3" s="1"/>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L231" i="3" s="1"/>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L230" i="3" s="1"/>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A228" i="3" s="1"/>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L226" i="3" s="1"/>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A224" i="3" s="1"/>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L207" i="3" s="1"/>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G388" i="3" s="1"/>
  <c r="H388" i="3"/>
  <c r="BT387" i="3"/>
  <c r="BS387" i="3"/>
  <c r="BR387" i="3"/>
  <c r="BQ387" i="3"/>
  <c r="BP387" i="3"/>
  <c r="BO387" i="3"/>
  <c r="BN387" i="3"/>
  <c r="BM387" i="3"/>
  <c r="BK387" i="3"/>
  <c r="BJ387" i="3"/>
  <c r="BI387" i="3"/>
  <c r="BH387" i="3"/>
  <c r="BG387" i="3"/>
  <c r="BF387" i="3"/>
  <c r="BA387" i="3" s="1"/>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A383" i="3" s="1"/>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L351" i="3" s="1"/>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A334" i="3" s="1"/>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L330" i="3" s="1"/>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L319" i="3" s="1"/>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L477" i="3" s="1"/>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A474" i="3" s="1"/>
  <c r="BE474" i="3"/>
  <c r="BD474" i="3"/>
  <c r="BC474" i="3"/>
  <c r="BB474" i="3"/>
  <c r="AX474" i="3"/>
  <c r="AW474" i="3"/>
  <c r="AV474" i="3"/>
  <c r="AC474" i="3"/>
  <c r="G474" i="3" s="1"/>
  <c r="H474" i="3"/>
  <c r="BT473" i="3"/>
  <c r="BS473" i="3"/>
  <c r="BR473" i="3"/>
  <c r="BQ473" i="3"/>
  <c r="BP473" i="3"/>
  <c r="BO473" i="3"/>
  <c r="BN473" i="3"/>
  <c r="BM473" i="3"/>
  <c r="BL473" i="3" s="1"/>
  <c r="BK473" i="3"/>
  <c r="BA473" i="3" s="1"/>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A457" i="3" s="1"/>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A452" i="3" s="1"/>
  <c r="BE452" i="3"/>
  <c r="BD452" i="3"/>
  <c r="BC452" i="3"/>
  <c r="BB452" i="3"/>
  <c r="AX452" i="3"/>
  <c r="AW452" i="3"/>
  <c r="AV452" i="3"/>
  <c r="AC452" i="3"/>
  <c r="G452" i="3" s="1"/>
  <c r="H452" i="3"/>
  <c r="BT451" i="3"/>
  <c r="BS451" i="3"/>
  <c r="BR451" i="3"/>
  <c r="BQ451" i="3"/>
  <c r="BP451" i="3"/>
  <c r="BO451" i="3"/>
  <c r="BN451" i="3"/>
  <c r="BM451" i="3"/>
  <c r="BL451" i="3" s="1"/>
  <c r="BK451" i="3"/>
  <c r="BA451" i="3" s="1"/>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A437" i="3" s="1"/>
  <c r="BD437" i="3"/>
  <c r="BC437" i="3"/>
  <c r="BB437" i="3"/>
  <c r="AX437" i="3"/>
  <c r="AW437" i="3"/>
  <c r="AV437" i="3"/>
  <c r="AC437" i="3"/>
  <c r="H437" i="3"/>
  <c r="G437" i="3" s="1"/>
  <c r="BT436" i="3"/>
  <c r="BS436" i="3"/>
  <c r="BR436" i="3"/>
  <c r="BL436" i="3" s="1"/>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L435" i="3" s="1"/>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A434" i="3" s="1"/>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A433" i="3" s="1"/>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AZ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L416" i="3" s="1"/>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K414" i="3"/>
  <c r="BJ414" i="3"/>
  <c r="BI414" i="3"/>
  <c r="BH414" i="3"/>
  <c r="BG414" i="3"/>
  <c r="BA414" i="3" s="1"/>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L396" i="3" s="1"/>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G34" i="43" s="1"/>
  <c r="BC13" i="3"/>
  <c r="BB13" i="3"/>
  <c r="BR13" i="3"/>
  <c r="B24" i="1"/>
  <c r="O75" i="9"/>
  <c r="L75" i="9"/>
  <c r="P75" i="9"/>
  <c r="O74" i="9"/>
  <c r="O73" i="9"/>
  <c r="E66" i="9"/>
  <c r="O72" i="9"/>
  <c r="F74" i="9"/>
  <c r="P74" i="9" s="1"/>
  <c r="N67" i="9"/>
  <c r="K44" i="9"/>
  <c r="K43" i="9"/>
  <c r="B31" i="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c r="G55" i="34"/>
  <c r="H55" i="34"/>
  <c r="E55" i="34"/>
  <c r="F55" i="34" s="1"/>
  <c r="I50" i="40"/>
  <c r="J50" i="40" s="1"/>
  <c r="G50" i="40"/>
  <c r="H50" i="40" s="1"/>
  <c r="E50" i="40"/>
  <c r="F50" i="40" s="1"/>
  <c r="I55" i="39"/>
  <c r="J55" i="39" s="1"/>
  <c r="G55" i="39"/>
  <c r="H55" i="39" s="1"/>
  <c r="E55" i="39"/>
  <c r="F55" i="39" s="1"/>
  <c r="I42" i="36"/>
  <c r="J42" i="36"/>
  <c r="G42" i="36"/>
  <c r="H42" i="36"/>
  <c r="E42" i="36"/>
  <c r="F42" i="36" s="1"/>
  <c r="I44" i="35"/>
  <c r="J44" i="35" s="1"/>
  <c r="G44" i="35"/>
  <c r="H44" i="35" s="1"/>
  <c r="E44" i="35"/>
  <c r="F44" i="35" s="1"/>
  <c r="I54" i="33"/>
  <c r="J54" i="33"/>
  <c r="G54" i="33"/>
  <c r="E54" i="33"/>
  <c r="F54" i="33" s="1"/>
  <c r="H14" i="3"/>
  <c r="G14" i="3" s="1"/>
  <c r="AC14" i="3"/>
  <c r="H15" i="3"/>
  <c r="AC15" i="3"/>
  <c r="G15" i="3" s="1"/>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L492" i="3" s="1"/>
  <c r="BP492" i="3"/>
  <c r="BR492" i="3"/>
  <c r="BS492" i="3"/>
  <c r="BT492" i="3"/>
  <c r="H493" i="3"/>
  <c r="AC493" i="3"/>
  <c r="BB493" i="3"/>
  <c r="BC493" i="3"/>
  <c r="BD493" i="3"/>
  <c r="BE493" i="3"/>
  <c r="BF493" i="3"/>
  <c r="BG493" i="3"/>
  <c r="BA493" i="3" s="1"/>
  <c r="BH493" i="3"/>
  <c r="BI493" i="3"/>
  <c r="BJ493" i="3"/>
  <c r="BK493" i="3"/>
  <c r="BM493" i="3"/>
  <c r="BN493" i="3"/>
  <c r="BO493" i="3"/>
  <c r="BP493" i="3"/>
  <c r="BQ493" i="3"/>
  <c r="BR493" i="3"/>
  <c r="BS493" i="3"/>
  <c r="BT493" i="3"/>
  <c r="BL493" i="3" s="1"/>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A498" i="3" s="1"/>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A501" i="3" s="1"/>
  <c r="BH501" i="3"/>
  <c r="BI501" i="3"/>
  <c r="BJ501" i="3"/>
  <c r="BK501" i="3"/>
  <c r="BM501" i="3"/>
  <c r="BN501" i="3"/>
  <c r="BO501" i="3"/>
  <c r="BP501" i="3"/>
  <c r="BQ501" i="3"/>
  <c r="BR501" i="3"/>
  <c r="BS501" i="3"/>
  <c r="BT501" i="3"/>
  <c r="BL501" i="3" s="1"/>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A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A512" i="3" s="1"/>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A521" i="3" s="1"/>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A525" i="3" s="1"/>
  <c r="BG525" i="3"/>
  <c r="BH525" i="3"/>
  <c r="BI525" i="3"/>
  <c r="BJ525" i="3"/>
  <c r="BK525" i="3"/>
  <c r="BM525" i="3"/>
  <c r="BN525" i="3"/>
  <c r="BO525" i="3"/>
  <c r="BP525" i="3"/>
  <c r="BQ525" i="3"/>
  <c r="BR525" i="3"/>
  <c r="BS525" i="3"/>
  <c r="BL525" i="3" s="1"/>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A533" i="3" s="1"/>
  <c r="BF533" i="3"/>
  <c r="BG533" i="3"/>
  <c r="BH533" i="3"/>
  <c r="BI533" i="3"/>
  <c r="BJ533" i="3"/>
  <c r="BK533" i="3"/>
  <c r="BM533" i="3"/>
  <c r="BN533" i="3"/>
  <c r="BO533" i="3"/>
  <c r="BP533" i="3"/>
  <c r="BQ533" i="3"/>
  <c r="BR533" i="3"/>
  <c r="BL533" i="3" s="1"/>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A569" i="3" s="1"/>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C26" i="35"/>
  <c r="C79" i="35"/>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F25" i="37" s="1"/>
  <c r="AA25" i="37" s="1"/>
  <c r="B110" i="37"/>
  <c r="B108" i="37"/>
  <c r="C23" i="37"/>
  <c r="C19" i="37"/>
  <c r="C17" i="37"/>
  <c r="C15" i="37"/>
  <c r="B112" i="37"/>
  <c r="D107" i="37"/>
  <c r="E107" i="37" s="1"/>
  <c r="F107" i="37" s="1"/>
  <c r="G107" i="37" s="1"/>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F9" i="37" s="1"/>
  <c r="P43" i="37"/>
  <c r="P42" i="37"/>
  <c r="V41" i="37"/>
  <c r="T41" i="37"/>
  <c r="R41" i="37"/>
  <c r="P41" i="37"/>
  <c r="Q40" i="37"/>
  <c r="Z40" i="37" s="1"/>
  <c r="Q39" i="37"/>
  <c r="Z39" i="37" s="1"/>
  <c r="Q38" i="37"/>
  <c r="Z38" i="37"/>
  <c r="Q37" i="37"/>
  <c r="Z37" i="37" s="1"/>
  <c r="Q36" i="37"/>
  <c r="Z36" i="37"/>
  <c r="Q35" i="37"/>
  <c r="Z35" i="37" s="1"/>
  <c r="Q34" i="37"/>
  <c r="Z34" i="37"/>
  <c r="Q33" i="37"/>
  <c r="Z33" i="37" s="1"/>
  <c r="Q32" i="37"/>
  <c r="Z32" i="37"/>
  <c r="Q31" i="37"/>
  <c r="Z31" i="37"/>
  <c r="J31" i="37"/>
  <c r="Q30" i="37"/>
  <c r="Z30" i="37" s="1"/>
  <c r="J30" i="37"/>
  <c r="W30" i="37" s="1"/>
  <c r="H30" i="37"/>
  <c r="AB30" i="37" s="1"/>
  <c r="F30" i="37"/>
  <c r="Q29" i="37"/>
  <c r="Z29" i="37"/>
  <c r="H29" i="37"/>
  <c r="U29" i="37" s="1"/>
  <c r="Q28" i="37"/>
  <c r="Z28" i="37"/>
  <c r="Q27" i="37"/>
  <c r="Z27" i="37" s="1"/>
  <c r="Q26" i="37"/>
  <c r="Z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J32" i="36" s="1"/>
  <c r="B95" i="36"/>
  <c r="D83" i="36"/>
  <c r="E83" i="36" s="1"/>
  <c r="F83" i="36" s="1"/>
  <c r="G83" i="36" s="1"/>
  <c r="H83" i="36" s="1"/>
  <c r="I83" i="36" s="1"/>
  <c r="J83" i="36" s="1"/>
  <c r="K83" i="36" s="1"/>
  <c r="L83" i="36" s="1"/>
  <c r="M83" i="36" s="1"/>
  <c r="D78" i="36"/>
  <c r="J26" i="36"/>
  <c r="W26" i="36" s="1"/>
  <c r="B75" i="36"/>
  <c r="B73" i="36"/>
  <c r="J24" i="36" s="1"/>
  <c r="B71" i="36"/>
  <c r="F23" i="36" s="1"/>
  <c r="D70" i="36"/>
  <c r="H22" i="36"/>
  <c r="AB22" i="36"/>
  <c r="D68" i="36"/>
  <c r="E68" i="36" s="1"/>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s="1"/>
  <c r="Q32" i="36"/>
  <c r="Z32" i="36"/>
  <c r="Q31" i="36"/>
  <c r="Z31" i="36" s="1"/>
  <c r="Q30" i="36"/>
  <c r="Z30" i="36" s="1"/>
  <c r="Q29" i="36"/>
  <c r="Z29" i="36"/>
  <c r="Q28" i="36"/>
  <c r="Z28" i="36"/>
  <c r="J28" i="36"/>
  <c r="AC28" i="36" s="1"/>
  <c r="Q27" i="36"/>
  <c r="Z27" i="36" s="1"/>
  <c r="Q26" i="36"/>
  <c r="Z26" i="36" s="1"/>
  <c r="H26" i="36"/>
  <c r="AB26" i="36"/>
  <c r="Q25" i="36"/>
  <c r="Z25" i="36"/>
  <c r="Q24" i="36"/>
  <c r="Z24" i="36"/>
  <c r="Q23" i="36"/>
  <c r="Z23" i="36" s="1"/>
  <c r="J23" i="36"/>
  <c r="H23" i="36"/>
  <c r="AB23" i="36" s="1"/>
  <c r="Q22" i="36"/>
  <c r="Z22" i="36"/>
  <c r="J22" i="36"/>
  <c r="AC22" i="36" s="1"/>
  <c r="Q20" i="36"/>
  <c r="Z20" i="36" s="1"/>
  <c r="Q16" i="36"/>
  <c r="Z16" i="36"/>
  <c r="Q14" i="36"/>
  <c r="Z14" i="36" s="1"/>
  <c r="Q13" i="36"/>
  <c r="Z13" i="36"/>
  <c r="Q12" i="36"/>
  <c r="Z12" i="36"/>
  <c r="H12" i="36"/>
  <c r="U12" i="36"/>
  <c r="Q11" i="36"/>
  <c r="Z11" i="36" s="1"/>
  <c r="Q10" i="36"/>
  <c r="Z10" i="36"/>
  <c r="F10" i="36"/>
  <c r="AA10" i="36" s="1"/>
  <c r="Q9" i="36"/>
  <c r="Z9" i="36"/>
  <c r="J8" i="36"/>
  <c r="AC8" i="36"/>
  <c r="H8" i="36"/>
  <c r="AB8" i="36" s="1"/>
  <c r="U8" i="36"/>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F35" i="35" s="1"/>
  <c r="S35" i="35" s="1"/>
  <c r="B97" i="35"/>
  <c r="H34" i="35" s="1"/>
  <c r="B77" i="35"/>
  <c r="B75" i="35"/>
  <c r="J24" i="35"/>
  <c r="AC24" i="35" s="1"/>
  <c r="B73" i="35"/>
  <c r="J23" i="35" s="1"/>
  <c r="AC23" i="35" s="1"/>
  <c r="B57" i="35"/>
  <c r="B61" i="35"/>
  <c r="B59" i="35"/>
  <c r="H12" i="35"/>
  <c r="B131" i="34"/>
  <c r="H47" i="34" s="1"/>
  <c r="U47" i="34" s="1"/>
  <c r="B129" i="34"/>
  <c r="B127" i="34"/>
  <c r="H45" i="34" s="1"/>
  <c r="B99" i="34"/>
  <c r="B97" i="34"/>
  <c r="B95" i="34"/>
  <c r="B93" i="34"/>
  <c r="B75" i="34"/>
  <c r="B73" i="34"/>
  <c r="H13" i="34" s="1"/>
  <c r="U13" i="34" s="1"/>
  <c r="B71" i="34"/>
  <c r="B130" i="33"/>
  <c r="B128" i="33"/>
  <c r="H45" i="33" s="1"/>
  <c r="B126" i="33"/>
  <c r="B98" i="33"/>
  <c r="F31" i="33" s="1"/>
  <c r="B96" i="33"/>
  <c r="B94" i="33"/>
  <c r="J29" i="33" s="1"/>
  <c r="W29" i="33" s="1"/>
  <c r="B74" i="33"/>
  <c r="B72" i="33"/>
  <c r="B70" i="33"/>
  <c r="J12" i="33" s="1"/>
  <c r="W12" i="33" s="1"/>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c r="F64" i="35" s="1"/>
  <c r="G6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B31" i="35"/>
  <c r="AA31" i="35"/>
  <c r="Q30" i="35"/>
  <c r="Z30" i="35" s="1"/>
  <c r="Q29" i="35"/>
  <c r="Z29" i="35" s="1"/>
  <c r="Q28" i="35"/>
  <c r="Z28" i="35" s="1"/>
  <c r="J28" i="35"/>
  <c r="H28" i="35"/>
  <c r="F28" i="35"/>
  <c r="AA28" i="35" s="1"/>
  <c r="Q27" i="35"/>
  <c r="Z27" i="35" s="1"/>
  <c r="Q26" i="35"/>
  <c r="Z26" i="35"/>
  <c r="Q25" i="35"/>
  <c r="Z25" i="35" s="1"/>
  <c r="Q24" i="35"/>
  <c r="Z24" i="35" s="1"/>
  <c r="Q23" i="35"/>
  <c r="Z23" i="35"/>
  <c r="Q22" i="35"/>
  <c r="Z22" i="35" s="1"/>
  <c r="Q20" i="35"/>
  <c r="Z20" i="35"/>
  <c r="Q16" i="35"/>
  <c r="Z16" i="35" s="1"/>
  <c r="Q14" i="35"/>
  <c r="Z14" i="35"/>
  <c r="Q13" i="35"/>
  <c r="Z13" i="35" s="1"/>
  <c r="Q12" i="35"/>
  <c r="Z12" i="35"/>
  <c r="J12" i="35"/>
  <c r="W12" i="35" s="1"/>
  <c r="F12" i="35"/>
  <c r="AA12" i="35" s="1"/>
  <c r="Q11" i="35"/>
  <c r="Z11" i="35"/>
  <c r="Q10" i="35"/>
  <c r="Z10" i="35" s="1"/>
  <c r="Q9" i="35"/>
  <c r="Z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c r="F43" i="34"/>
  <c r="AA43" i="34"/>
  <c r="Q42" i="34"/>
  <c r="Z42" i="34"/>
  <c r="Q41" i="34"/>
  <c r="Z41" i="34"/>
  <c r="Q40" i="34"/>
  <c r="Z40" i="34"/>
  <c r="F40" i="34"/>
  <c r="S40" i="34" s="1"/>
  <c r="Q39" i="34"/>
  <c r="Z39" i="34"/>
  <c r="J39" i="34"/>
  <c r="AC39" i="34"/>
  <c r="H39" i="34"/>
  <c r="U39" i="34"/>
  <c r="F39" i="34"/>
  <c r="Q38" i="34"/>
  <c r="Z38" i="34" s="1"/>
  <c r="Q37" i="34"/>
  <c r="Z37" i="34" s="1"/>
  <c r="Q36" i="34"/>
  <c r="Z36" i="34" s="1"/>
  <c r="Q35" i="34"/>
  <c r="Z35" i="34" s="1"/>
  <c r="Q34" i="34"/>
  <c r="Z34" i="34" s="1"/>
  <c r="J34" i="34"/>
  <c r="H34" i="34"/>
  <c r="AB34" i="34" s="1"/>
  <c r="F34" i="34"/>
  <c r="AA34" i="34"/>
  <c r="Q33" i="34"/>
  <c r="Z33" i="34"/>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c r="H40" i="33"/>
  <c r="Q39" i="33"/>
  <c r="Z39" i="33" s="1"/>
  <c r="J39" i="33"/>
  <c r="AC39" i="33"/>
  <c r="Q38" i="33"/>
  <c r="Z38" i="33" s="1"/>
  <c r="J38" i="33"/>
  <c r="H38" i="33"/>
  <c r="AB38" i="33"/>
  <c r="F38" i="33"/>
  <c r="AA38" i="33"/>
  <c r="Q37" i="33"/>
  <c r="Z37" i="33" s="1"/>
  <c r="Q36" i="33"/>
  <c r="Z36" i="33"/>
  <c r="Q35" i="33"/>
  <c r="Z35" i="33" s="1"/>
  <c r="H35" i="33"/>
  <c r="AB35" i="33" s="1"/>
  <c r="Q34" i="33"/>
  <c r="Z34" i="33"/>
  <c r="Q33" i="33"/>
  <c r="Z33" i="33"/>
  <c r="J33" i="33"/>
  <c r="W33" i="33" s="1"/>
  <c r="H33" i="33"/>
  <c r="AB33" i="33"/>
  <c r="F33" i="33"/>
  <c r="AA33" i="33" s="1"/>
  <c r="Q32" i="33"/>
  <c r="Z32" i="33" s="1"/>
  <c r="Q31" i="33"/>
  <c r="Z31" i="33"/>
  <c r="Q30" i="33"/>
  <c r="Z30" i="33"/>
  <c r="Q29" i="33"/>
  <c r="Z29" i="33" s="1"/>
  <c r="Q28" i="33"/>
  <c r="Z28" i="33"/>
  <c r="Q27" i="33"/>
  <c r="Z27" i="33" s="1"/>
  <c r="Q26" i="33"/>
  <c r="Z26" i="33" s="1"/>
  <c r="Q25" i="33"/>
  <c r="Z25" i="33"/>
  <c r="Q23" i="33"/>
  <c r="Z23" i="33"/>
  <c r="Q19" i="33"/>
  <c r="Z19" i="33" s="1"/>
  <c r="Q17" i="33"/>
  <c r="Z17" i="33"/>
  <c r="Q15" i="33"/>
  <c r="Z15" i="33" s="1"/>
  <c r="F15" i="33"/>
  <c r="AA15" i="33" s="1"/>
  <c r="Q14" i="33"/>
  <c r="Z14" i="33"/>
  <c r="Q13" i="33"/>
  <c r="Z13" i="33"/>
  <c r="Q12" i="33"/>
  <c r="Z12" i="33" s="1"/>
  <c r="H12" i="33"/>
  <c r="U12" i="33" s="1"/>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s="1"/>
  <c r="C20" i="20"/>
  <c r="B76" i="46"/>
  <c r="C18" i="20"/>
  <c r="B70" i="46"/>
  <c r="C17" i="20"/>
  <c r="B58" i="46"/>
  <c r="C16" i="20"/>
  <c r="B47" i="46"/>
  <c r="C15" i="20"/>
  <c r="B69" i="46"/>
  <c r="E54" i="21"/>
  <c r="F54" i="21" s="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J27" i="21" s="1"/>
  <c r="W27" i="21" s="1"/>
  <c r="B74" i="21"/>
  <c r="F14" i="21" s="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A572" i="3" s="1"/>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s="1"/>
  <c r="H35" i="21"/>
  <c r="AB35" i="21" s="1"/>
  <c r="J8" i="21"/>
  <c r="AC8" i="21" s="1"/>
  <c r="J9" i="21"/>
  <c r="AC9" i="21" s="1"/>
  <c r="H8" i="21"/>
  <c r="AB8" i="21" s="1"/>
  <c r="H9" i="21"/>
  <c r="AB9" i="21" s="1"/>
  <c r="H10" i="21"/>
  <c r="H39" i="21"/>
  <c r="AB39" i="21" s="1"/>
  <c r="J34" i="21"/>
  <c r="W34" i="21" s="1"/>
  <c r="H36" i="21"/>
  <c r="F35" i="21"/>
  <c r="AA35" i="21" s="1"/>
  <c r="J33" i="21"/>
  <c r="W33" i="21" s="1"/>
  <c r="H33" i="21"/>
  <c r="U33" i="21" s="1"/>
  <c r="F33" i="21"/>
  <c r="J10" i="21"/>
  <c r="AC10" i="21" s="1"/>
  <c r="H26" i="21"/>
  <c r="F19" i="21"/>
  <c r="AA19" i="21" s="1"/>
  <c r="H19" i="21"/>
  <c r="AB19" i="21" s="1"/>
  <c r="J19" i="21"/>
  <c r="W19" i="21" s="1"/>
  <c r="J12" i="21"/>
  <c r="H12" i="21"/>
  <c r="U12" i="21" s="1"/>
  <c r="J26" i="21"/>
  <c r="W26" i="21"/>
  <c r="F26" i="21"/>
  <c r="AA26" i="21"/>
  <c r="AB41" i="21"/>
  <c r="S41" i="21"/>
  <c r="AA41" i="21"/>
  <c r="S10" i="39"/>
  <c r="U30" i="37"/>
  <c r="E103" i="37"/>
  <c r="F103" i="37" s="1"/>
  <c r="F29" i="36"/>
  <c r="AA29" i="36" s="1"/>
  <c r="F16" i="36"/>
  <c r="AA16" i="36" s="1"/>
  <c r="U22" i="36"/>
  <c r="W22" i="36"/>
  <c r="U26" i="36"/>
  <c r="AC31" i="36"/>
  <c r="J33" i="36"/>
  <c r="W33" i="36" s="1"/>
  <c r="U31" i="35"/>
  <c r="W36" i="35"/>
  <c r="W24" i="35"/>
  <c r="S31" i="35"/>
  <c r="W31" i="35"/>
  <c r="F36" i="34"/>
  <c r="S36" i="34" s="1"/>
  <c r="S34" i="34"/>
  <c r="W39" i="34"/>
  <c r="H39" i="33"/>
  <c r="AB39" i="33" s="1"/>
  <c r="F26" i="33"/>
  <c r="AA26" i="33" s="1"/>
  <c r="U33" i="33"/>
  <c r="S40" i="33"/>
  <c r="S33" i="33"/>
  <c r="U38" i="33"/>
  <c r="S8" i="21"/>
  <c r="H39" i="37"/>
  <c r="AB39" i="37"/>
  <c r="S10" i="40"/>
  <c r="W10" i="40"/>
  <c r="S11" i="40"/>
  <c r="U11" i="40"/>
  <c r="S36" i="40"/>
  <c r="U36" i="40"/>
  <c r="S40" i="39"/>
  <c r="S36" i="39"/>
  <c r="F11" i="21"/>
  <c r="S11" i="21" s="1"/>
  <c r="AA38" i="21"/>
  <c r="AC35" i="21"/>
  <c r="C29" i="39"/>
  <c r="C23" i="39"/>
  <c r="U36" i="39"/>
  <c r="S42" i="39"/>
  <c r="H32" i="33"/>
  <c r="AB32" i="33" s="1"/>
  <c r="H11" i="21"/>
  <c r="U11" i="21" s="1"/>
  <c r="J11" i="21"/>
  <c r="W11" i="21" s="1"/>
  <c r="AA12" i="33"/>
  <c r="J27" i="36"/>
  <c r="W27" i="36" s="1"/>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W19" i="33" s="1"/>
  <c r="W40" i="33"/>
  <c r="F125" i="21"/>
  <c r="G125" i="21" s="1"/>
  <c r="AB30" i="36"/>
  <c r="H29" i="35"/>
  <c r="AB29" i="35" s="1"/>
  <c r="U34" i="37"/>
  <c r="S34" i="37"/>
  <c r="AA34" i="37"/>
  <c r="AB42" i="34"/>
  <c r="AB40" i="34"/>
  <c r="W36" i="34"/>
  <c r="J19" i="34"/>
  <c r="AC19" i="34"/>
  <c r="H37" i="33"/>
  <c r="AB37" i="33" s="1"/>
  <c r="S37" i="33"/>
  <c r="AC42" i="34"/>
  <c r="W42" i="34"/>
  <c r="AA42" i="34"/>
  <c r="S42" i="34"/>
  <c r="AC38" i="34"/>
  <c r="W38" i="34"/>
  <c r="AA38" i="34"/>
  <c r="S38" i="34"/>
  <c r="J37" i="33"/>
  <c r="W37" i="33" s="1"/>
  <c r="J42" i="21"/>
  <c r="AC42" i="21" s="1"/>
  <c r="J44" i="34"/>
  <c r="AC44" i="34" s="1"/>
  <c r="F44" i="34"/>
  <c r="S44" i="34" s="1"/>
  <c r="J10" i="35"/>
  <c r="W10" i="35" s="1"/>
  <c r="AL5" i="3"/>
  <c r="BQ13" i="3"/>
  <c r="AA14" i="21"/>
  <c r="H28" i="21"/>
  <c r="F28" i="21"/>
  <c r="AA28" i="21" s="1"/>
  <c r="J28" i="21"/>
  <c r="AC28" i="21" s="1"/>
  <c r="H30" i="21"/>
  <c r="U30" i="21" s="1"/>
  <c r="F30" i="21"/>
  <c r="S30" i="21" s="1"/>
  <c r="J30" i="21"/>
  <c r="AC30" i="21" s="1"/>
  <c r="H46" i="21"/>
  <c r="AB46" i="21" s="1"/>
  <c r="J46" i="21"/>
  <c r="W46" i="21" s="1"/>
  <c r="F46" i="21"/>
  <c r="S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c r="H13" i="21"/>
  <c r="AB13" i="21" s="1"/>
  <c r="U13" i="2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31" i="33"/>
  <c r="AC31" i="33" s="1"/>
  <c r="H31" i="33"/>
  <c r="U31" i="33" s="1"/>
  <c r="J45" i="33"/>
  <c r="W45" i="33"/>
  <c r="F45" i="33"/>
  <c r="S45" i="33" s="1"/>
  <c r="F11" i="35"/>
  <c r="S11" i="35" s="1"/>
  <c r="H28" i="36"/>
  <c r="U28" i="36" s="1"/>
  <c r="H32" i="36"/>
  <c r="AB32" i="36" s="1"/>
  <c r="J11" i="36"/>
  <c r="W11" i="36" s="1"/>
  <c r="E89" i="37"/>
  <c r="F89" i="37" s="1"/>
  <c r="G89" i="37" s="1"/>
  <c r="H89" i="37" s="1"/>
  <c r="I89" i="37" s="1"/>
  <c r="J89" i="37" s="1"/>
  <c r="K89" i="37" s="1"/>
  <c r="L89" i="37" s="1"/>
  <c r="M89" i="37" s="1"/>
  <c r="J29" i="37"/>
  <c r="W29" i="37"/>
  <c r="F29" i="37"/>
  <c r="AA29" i="37"/>
  <c r="F105" i="37"/>
  <c r="G105" i="37" s="1"/>
  <c r="AB36" i="37"/>
  <c r="J37" i="37"/>
  <c r="AC37" i="37" s="1"/>
  <c r="H37" i="37"/>
  <c r="U37" i="37" s="1"/>
  <c r="H40" i="37"/>
  <c r="J40" i="37"/>
  <c r="F40" i="37"/>
  <c r="AA40" i="37" s="1"/>
  <c r="H14" i="33"/>
  <c r="U14" i="33"/>
  <c r="F14" i="33"/>
  <c r="AA14" i="33"/>
  <c r="J14" i="33"/>
  <c r="AC14" i="33" s="1"/>
  <c r="H30" i="33"/>
  <c r="AB30" i="33" s="1"/>
  <c r="F30" i="33"/>
  <c r="J30" i="33"/>
  <c r="H44" i="33"/>
  <c r="U44" i="33" s="1"/>
  <c r="J44" i="33"/>
  <c r="AC44" i="33" s="1"/>
  <c r="F44" i="33"/>
  <c r="S44" i="33" s="1"/>
  <c r="J46" i="33"/>
  <c r="F46" i="33"/>
  <c r="AA46" i="33" s="1"/>
  <c r="H46" i="33"/>
  <c r="AB46" i="33" s="1"/>
  <c r="J13" i="34"/>
  <c r="W13" i="34" s="1"/>
  <c r="F13" i="34"/>
  <c r="AA13" i="34" s="1"/>
  <c r="J29" i="34"/>
  <c r="AC29" i="34" s="1"/>
  <c r="F29" i="34"/>
  <c r="S29" i="34" s="1"/>
  <c r="H29" i="34"/>
  <c r="U29" i="34" s="1"/>
  <c r="J31" i="34"/>
  <c r="H31" i="34"/>
  <c r="AB31" i="34" s="1"/>
  <c r="F31" i="34"/>
  <c r="S31" i="34" s="1"/>
  <c r="J45" i="34"/>
  <c r="W45" i="34" s="1"/>
  <c r="F47" i="34"/>
  <c r="AA47" i="34" s="1"/>
  <c r="J47" i="34"/>
  <c r="AC47" i="34" s="1"/>
  <c r="J25" i="35"/>
  <c r="AC25" i="35" s="1"/>
  <c r="F25" i="35"/>
  <c r="AA25" i="35" s="1"/>
  <c r="H25" i="35"/>
  <c r="AB25" i="35" s="1"/>
  <c r="J35" i="35"/>
  <c r="H35" i="35"/>
  <c r="U35" i="35"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U30" i="33"/>
  <c r="J36" i="37"/>
  <c r="AC36" i="37" s="1"/>
  <c r="AB28" i="36"/>
  <c r="W30" i="21"/>
  <c r="S28" i="21"/>
  <c r="W42" i="21"/>
  <c r="U36" i="37"/>
  <c r="AA27" i="33"/>
  <c r="G529" i="3"/>
  <c r="G521" i="3"/>
  <c r="G517" i="3"/>
  <c r="G513" i="3"/>
  <c r="G508" i="3"/>
  <c r="G499" i="3"/>
  <c r="G493" i="3"/>
  <c r="G485" i="3"/>
  <c r="G17" i="3"/>
  <c r="G565" i="3"/>
  <c r="G561" i="3"/>
  <c r="G557" i="3"/>
  <c r="G549" i="3"/>
  <c r="G545" i="3"/>
  <c r="G539" i="3"/>
  <c r="BL561" i="3"/>
  <c r="BL557" i="3"/>
  <c r="AZ557" i="3" s="1"/>
  <c r="BL553" i="3"/>
  <c r="BL545" i="3"/>
  <c r="AZ545" i="3" s="1"/>
  <c r="BL527" i="3"/>
  <c r="BL519" i="3"/>
  <c r="BL511" i="3"/>
  <c r="BL491" i="3"/>
  <c r="G16" i="3"/>
  <c r="BL563" i="3"/>
  <c r="BL559" i="3"/>
  <c r="BL555" i="3"/>
  <c r="BL551" i="3"/>
  <c r="BL541" i="3"/>
  <c r="G518" i="3"/>
  <c r="G514" i="3"/>
  <c r="G510" i="3"/>
  <c r="BL485" i="3"/>
  <c r="BA565" i="3"/>
  <c r="BA561" i="3"/>
  <c r="BA559" i="3"/>
  <c r="AZ559" i="3" s="1"/>
  <c r="BA557" i="3"/>
  <c r="BA555" i="3"/>
  <c r="AZ555" i="3"/>
  <c r="BA545" i="3"/>
  <c r="BA543" i="3"/>
  <c r="AZ543" i="3" s="1"/>
  <c r="BA541" i="3"/>
  <c r="AZ541" i="3" s="1"/>
  <c r="BA531" i="3"/>
  <c r="BA509" i="3"/>
  <c r="BA505" i="3"/>
  <c r="BA19" i="3"/>
  <c r="BA566" i="3"/>
  <c r="BA562" i="3"/>
  <c r="BA560" i="3"/>
  <c r="BA558" i="3"/>
  <c r="BA556" i="3"/>
  <c r="BA554" i="3"/>
  <c r="BA550" i="3"/>
  <c r="BA546" i="3"/>
  <c r="BA544" i="3"/>
  <c r="BA536" i="3"/>
  <c r="BA532" i="3"/>
  <c r="BA528" i="3"/>
  <c r="BA524" i="3"/>
  <c r="BA520" i="3"/>
  <c r="BA516" i="3"/>
  <c r="BA508" i="3"/>
  <c r="AZ508" i="3" s="1"/>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c r="BQ560" i="3"/>
  <c r="BL560" i="3" s="1"/>
  <c r="BQ558" i="3"/>
  <c r="BL558" i="3" s="1"/>
  <c r="BQ556" i="3"/>
  <c r="BL556" i="3" s="1"/>
  <c r="BQ554" i="3"/>
  <c r="BQ552" i="3"/>
  <c r="BL552" i="3" s="1"/>
  <c r="BQ550" i="3"/>
  <c r="BL550" i="3" s="1"/>
  <c r="AZ550" i="3" s="1"/>
  <c r="BQ548" i="3"/>
  <c r="BQ546" i="3"/>
  <c r="BL546" i="3"/>
  <c r="AZ546" i="3" s="1"/>
  <c r="BQ544" i="3"/>
  <c r="BL544" i="3" s="1"/>
  <c r="G544" i="3"/>
  <c r="G538" i="3"/>
  <c r="G534" i="3"/>
  <c r="G530" i="3"/>
  <c r="G526" i="3"/>
  <c r="G522" i="3"/>
  <c r="BQ540" i="3"/>
  <c r="BL540" i="3" s="1"/>
  <c r="BQ538" i="3"/>
  <c r="BL538" i="3" s="1"/>
  <c r="BQ536" i="3"/>
  <c r="BQ534" i="3"/>
  <c r="BL534" i="3" s="1"/>
  <c r="BQ532" i="3"/>
  <c r="BL532" i="3"/>
  <c r="AZ532" i="3" s="1"/>
  <c r="BQ530" i="3"/>
  <c r="BQ528" i="3"/>
  <c r="BQ526" i="3"/>
  <c r="BL526" i="3"/>
  <c r="BQ524" i="3"/>
  <c r="BL524" i="3"/>
  <c r="AZ524" i="3" s="1"/>
  <c r="BQ522" i="3"/>
  <c r="BQ520" i="3"/>
  <c r="BQ518" i="3"/>
  <c r="BQ516" i="3"/>
  <c r="BL516" i="3" s="1"/>
  <c r="BQ514" i="3"/>
  <c r="BL514" i="3" s="1"/>
  <c r="BQ512" i="3"/>
  <c r="BQ510" i="3"/>
  <c r="BL510" i="3" s="1"/>
  <c r="BQ508" i="3"/>
  <c r="BL508" i="3" s="1"/>
  <c r="AC506" i="3"/>
  <c r="G506" i="3" s="1"/>
  <c r="BQ506" i="3"/>
  <c r="BL506" i="3" s="1"/>
  <c r="G502" i="3"/>
  <c r="G498" i="3"/>
  <c r="BQ504" i="3"/>
  <c r="BQ502" i="3"/>
  <c r="BL502" i="3" s="1"/>
  <c r="BQ500" i="3"/>
  <c r="BQ498" i="3"/>
  <c r="BL498" i="3" s="1"/>
  <c r="AZ498" i="3" s="1"/>
  <c r="BQ496" i="3"/>
  <c r="AC494" i="3"/>
  <c r="G494" i="3" s="1"/>
  <c r="BQ494" i="3"/>
  <c r="G492" i="3"/>
  <c r="G488" i="3"/>
  <c r="G484" i="3"/>
  <c r="G20" i="3"/>
  <c r="BQ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F22" i="36"/>
  <c r="S22" i="36"/>
  <c r="H35" i="34"/>
  <c r="U35" i="34"/>
  <c r="F41" i="34"/>
  <c r="S41" i="34"/>
  <c r="H41" i="34"/>
  <c r="U41" i="34" s="1"/>
  <c r="J41" i="34"/>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D3" i="21"/>
  <c r="AC33" i="36"/>
  <c r="AC12" i="35"/>
  <c r="W23" i="35"/>
  <c r="S27" i="37"/>
  <c r="U39" i="37"/>
  <c r="AC8" i="37"/>
  <c r="S25" i="37"/>
  <c r="AC36" i="34"/>
  <c r="AB8" i="34"/>
  <c r="AC37" i="33"/>
  <c r="AA13" i="33"/>
  <c r="AC45" i="33"/>
  <c r="U19" i="21"/>
  <c r="AA36" i="21"/>
  <c r="S39" i="33"/>
  <c r="F43" i="33"/>
  <c r="AA43" i="33" s="1"/>
  <c r="AA23" i="37"/>
  <c r="AB44" i="33"/>
  <c r="H107" i="37"/>
  <c r="I107" i="37" s="1"/>
  <c r="J107" i="37" s="1"/>
  <c r="K107" i="37" s="1"/>
  <c r="L107" i="37" s="1"/>
  <c r="M107" i="37" s="1"/>
  <c r="F37" i="21"/>
  <c r="S37" i="21" s="1"/>
  <c r="J37" i="21"/>
  <c r="W37" i="21"/>
  <c r="H19" i="34"/>
  <c r="AB19" i="34" s="1"/>
  <c r="J10" i="37"/>
  <c r="W10" i="37" s="1"/>
  <c r="F36" i="35"/>
  <c r="J9" i="37"/>
  <c r="W9" i="37" s="1"/>
  <c r="H9" i="37"/>
  <c r="U9" i="37" s="1"/>
  <c r="S9" i="37"/>
  <c r="F11" i="37"/>
  <c r="S11" i="37" s="1"/>
  <c r="J12" i="37"/>
  <c r="AC12" i="37" s="1"/>
  <c r="H12" i="37"/>
  <c r="F12" i="37"/>
  <c r="AA12" i="37" s="1"/>
  <c r="H15" i="37"/>
  <c r="E94" i="37"/>
  <c r="F94" i="37" s="1"/>
  <c r="G94" i="37" s="1"/>
  <c r="H94" i="37" s="1"/>
  <c r="I94" i="37" s="1"/>
  <c r="J94" i="37" s="1"/>
  <c r="K94" i="37" s="1"/>
  <c r="L94" i="37" s="1"/>
  <c r="M94" i="37" s="1"/>
  <c r="F31" i="37"/>
  <c r="S31" i="37"/>
  <c r="H31" i="37"/>
  <c r="AB31" i="37" s="1"/>
  <c r="J15" i="37"/>
  <c r="W15" i="37" s="1"/>
  <c r="AB10" i="37"/>
  <c r="J11" i="37"/>
  <c r="W11" i="37" s="1"/>
  <c r="U31" i="37"/>
  <c r="E89" i="40"/>
  <c r="F89" i="40" s="1"/>
  <c r="G89" i="40" s="1"/>
  <c r="F21" i="40"/>
  <c r="S21" i="40" s="1"/>
  <c r="W36" i="40"/>
  <c r="U40" i="39"/>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AZ356" i="3" s="1"/>
  <c r="G357" i="3"/>
  <c r="BL358" i="3"/>
  <c r="AZ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G120" i="3"/>
  <c r="BA122" i="3"/>
  <c r="BL123" i="3"/>
  <c r="G124" i="3"/>
  <c r="BA126" i="3"/>
  <c r="BL127" i="3"/>
  <c r="G128" i="3"/>
  <c r="BA130" i="3"/>
  <c r="BL131" i="3"/>
  <c r="G132" i="3"/>
  <c r="BA134" i="3"/>
  <c r="BL135" i="3"/>
  <c r="AZ135" i="3" s="1"/>
  <c r="G136" i="3"/>
  <c r="BA138" i="3"/>
  <c r="BL139" i="3"/>
  <c r="G140" i="3"/>
  <c r="BA142" i="3"/>
  <c r="BL143" i="3"/>
  <c r="AZ143" i="3" s="1"/>
  <c r="G144" i="3"/>
  <c r="BA146" i="3"/>
  <c r="BL147" i="3"/>
  <c r="AZ147" i="3" s="1"/>
  <c r="G148" i="3"/>
  <c r="BA150" i="3"/>
  <c r="BL151" i="3"/>
  <c r="AZ151" i="3" s="1"/>
  <c r="BA153" i="3"/>
  <c r="BL154" i="3"/>
  <c r="AZ154" i="3" s="1"/>
  <c r="G155" i="3"/>
  <c r="BA157" i="3"/>
  <c r="AZ157" i="3" s="1"/>
  <c r="BL158" i="3"/>
  <c r="AZ158" i="3" s="1"/>
  <c r="G159" i="3"/>
  <c r="BA161" i="3"/>
  <c r="AZ161" i="3" s="1"/>
  <c r="BL162" i="3"/>
  <c r="G163" i="3"/>
  <c r="BA165" i="3"/>
  <c r="BL166" i="3"/>
  <c r="AZ166" i="3" s="1"/>
  <c r="G167" i="3"/>
  <c r="BA169" i="3"/>
  <c r="BL170" i="3"/>
  <c r="G171" i="3"/>
  <c r="BA173" i="3"/>
  <c r="AZ173" i="3" s="1"/>
  <c r="BL174" i="3"/>
  <c r="G175" i="3"/>
  <c r="BA178" i="3"/>
  <c r="BL179" i="3"/>
  <c r="G180" i="3"/>
  <c r="AZ39" i="3"/>
  <c r="AZ55" i="3"/>
  <c r="G537" i="3"/>
  <c r="BL181" i="3"/>
  <c r="AZ181" i="3"/>
  <c r="G182" i="3"/>
  <c r="BA184" i="3"/>
  <c r="BL185" i="3"/>
  <c r="AZ185" i="3" s="1"/>
  <c r="G186" i="3"/>
  <c r="BA188" i="3"/>
  <c r="BL189" i="3"/>
  <c r="G190" i="3"/>
  <c r="BA192" i="3"/>
  <c r="BL193" i="3"/>
  <c r="AZ193" i="3" s="1"/>
  <c r="G194" i="3"/>
  <c r="BA196" i="3"/>
  <c r="BL197" i="3"/>
  <c r="AZ197" i="3" s="1"/>
  <c r="G198" i="3"/>
  <c r="BA200" i="3"/>
  <c r="BL201" i="3"/>
  <c r="AZ70" i="3"/>
  <c r="AZ98" i="3"/>
  <c r="G491" i="3"/>
  <c r="BA298" i="3"/>
  <c r="AZ298" i="3" s="1"/>
  <c r="BA299" i="3"/>
  <c r="BL299" i="3"/>
  <c r="G300" i="3"/>
  <c r="G303" i="3"/>
  <c r="BL304" i="3"/>
  <c r="BA306" i="3"/>
  <c r="AZ306" i="3" s="1"/>
  <c r="BA307" i="3"/>
  <c r="AZ307" i="3" s="1"/>
  <c r="BL307" i="3"/>
  <c r="G308" i="3"/>
  <c r="G319" i="3"/>
  <c r="BL320" i="3"/>
  <c r="BA322" i="3"/>
  <c r="BA323" i="3"/>
  <c r="AZ323" i="3" s="1"/>
  <c r="BL323" i="3"/>
  <c r="G324" i="3"/>
  <c r="G327" i="3"/>
  <c r="BL328" i="3"/>
  <c r="BA330" i="3"/>
  <c r="AZ330" i="3" s="1"/>
  <c r="BA331" i="3"/>
  <c r="BL331" i="3"/>
  <c r="AZ331" i="3" s="1"/>
  <c r="G332" i="3"/>
  <c r="G335" i="3"/>
  <c r="BL336" i="3"/>
  <c r="BA338" i="3"/>
  <c r="BA339" i="3"/>
  <c r="AZ339" i="3" s="1"/>
  <c r="BL339" i="3"/>
  <c r="G340" i="3"/>
  <c r="G343" i="3"/>
  <c r="BL344" i="3"/>
  <c r="BA346" i="3"/>
  <c r="AZ346" i="3" s="1"/>
  <c r="BA347" i="3"/>
  <c r="BL347" i="3"/>
  <c r="G348" i="3"/>
  <c r="G351" i="3"/>
  <c r="BL352" i="3"/>
  <c r="BA354" i="3"/>
  <c r="BA355" i="3"/>
  <c r="AZ355" i="3"/>
  <c r="BL355" i="3"/>
  <c r="G356" i="3"/>
  <c r="BA358" i="3"/>
  <c r="BA359" i="3"/>
  <c r="AZ359" i="3" s="1"/>
  <c r="BL359" i="3"/>
  <c r="G360" i="3"/>
  <c r="G361" i="3"/>
  <c r="BL362" i="3"/>
  <c r="BA364" i="3"/>
  <c r="BA365" i="3"/>
  <c r="AZ365" i="3" s="1"/>
  <c r="BL365" i="3"/>
  <c r="G366" i="3"/>
  <c r="G369" i="3"/>
  <c r="BL370" i="3"/>
  <c r="BA372" i="3"/>
  <c r="AZ372" i="3" s="1"/>
  <c r="BA373" i="3"/>
  <c r="BL373" i="3"/>
  <c r="AZ373" i="3" s="1"/>
  <c r="G374" i="3"/>
  <c r="G377" i="3"/>
  <c r="BL378" i="3"/>
  <c r="BA380" i="3"/>
  <c r="BA381" i="3"/>
  <c r="AZ381" i="3" s="1"/>
  <c r="BL381" i="3"/>
  <c r="G382" i="3"/>
  <c r="G385" i="3"/>
  <c r="AZ162" i="3"/>
  <c r="AZ179" i="3"/>
  <c r="G523" i="3"/>
  <c r="BL297" i="3"/>
  <c r="AZ297" i="3" s="1"/>
  <c r="G298" i="3"/>
  <c r="BA300" i="3"/>
  <c r="AZ300" i="3" s="1"/>
  <c r="BL301" i="3"/>
  <c r="AZ301" i="3" s="1"/>
  <c r="G302" i="3"/>
  <c r="BA304" i="3"/>
  <c r="AZ304" i="3"/>
  <c r="BL305" i="3"/>
  <c r="G306" i="3"/>
  <c r="BA308" i="3"/>
  <c r="AZ308" i="3" s="1"/>
  <c r="BL309" i="3"/>
  <c r="G310" i="3"/>
  <c r="BA310" i="3"/>
  <c r="BL311" i="3"/>
  <c r="G312" i="3"/>
  <c r="BA312" i="3"/>
  <c r="AZ312" i="3"/>
  <c r="BL313" i="3"/>
  <c r="G314" i="3"/>
  <c r="BA314" i="3"/>
  <c r="BL315" i="3"/>
  <c r="AZ315" i="3" s="1"/>
  <c r="G316" i="3"/>
  <c r="BA316" i="3"/>
  <c r="AZ316" i="3"/>
  <c r="BL317" i="3"/>
  <c r="G318" i="3"/>
  <c r="BA320" i="3"/>
  <c r="AZ320" i="3"/>
  <c r="BL321" i="3"/>
  <c r="AZ321" i="3" s="1"/>
  <c r="G322" i="3"/>
  <c r="BA324" i="3"/>
  <c r="AZ324" i="3" s="1"/>
  <c r="BL325" i="3"/>
  <c r="AZ325" i="3" s="1"/>
  <c r="G326" i="3"/>
  <c r="BA328" i="3"/>
  <c r="AZ328" i="3"/>
  <c r="BL329" i="3"/>
  <c r="G330" i="3"/>
  <c r="BA332" i="3"/>
  <c r="AZ332" i="3"/>
  <c r="BL333" i="3"/>
  <c r="G334" i="3"/>
  <c r="BA336" i="3"/>
  <c r="BL337" i="3"/>
  <c r="G338" i="3"/>
  <c r="BA340" i="3"/>
  <c r="AZ340" i="3"/>
  <c r="BL341" i="3"/>
  <c r="G342" i="3"/>
  <c r="BA344" i="3"/>
  <c r="AZ344" i="3"/>
  <c r="BL345" i="3"/>
  <c r="G346" i="3"/>
  <c r="BA348" i="3"/>
  <c r="AZ348" i="3" s="1"/>
  <c r="BL349" i="3"/>
  <c r="G350" i="3"/>
  <c r="BA352" i="3"/>
  <c r="AZ352" i="3"/>
  <c r="BL353" i="3"/>
  <c r="G354" i="3"/>
  <c r="BA356" i="3"/>
  <c r="BL357" i="3"/>
  <c r="AZ357" i="3" s="1"/>
  <c r="G358" i="3"/>
  <c r="BA362" i="3"/>
  <c r="AZ362" i="3" s="1"/>
  <c r="BL363" i="3"/>
  <c r="G364" i="3"/>
  <c r="BA366" i="3"/>
  <c r="BL367" i="3"/>
  <c r="AZ217" i="3"/>
  <c r="AZ225" i="3"/>
  <c r="AZ245" i="3"/>
  <c r="AZ337" i="3"/>
  <c r="AZ341" i="3"/>
  <c r="AZ367" i="3"/>
  <c r="G368" i="3"/>
  <c r="BA370" i="3"/>
  <c r="AZ370" i="3" s="1"/>
  <c r="BL371" i="3"/>
  <c r="G372" i="3"/>
  <c r="BA374" i="3"/>
  <c r="AZ374" i="3" s="1"/>
  <c r="BL375" i="3"/>
  <c r="G376" i="3"/>
  <c r="BA378" i="3"/>
  <c r="AZ378" i="3" s="1"/>
  <c r="BL379" i="3"/>
  <c r="G380" i="3"/>
  <c r="BA382" i="3"/>
  <c r="BL383" i="3"/>
  <c r="AZ383" i="3" s="1"/>
  <c r="G384" i="3"/>
  <c r="AZ249" i="3"/>
  <c r="AZ311" i="3"/>
  <c r="AZ422" i="3"/>
  <c r="AZ446" i="3"/>
  <c r="AZ450" i="3"/>
  <c r="AZ471" i="3"/>
  <c r="H7" i="48"/>
  <c r="F33" i="46"/>
  <c r="H16" i="48"/>
  <c r="H9" i="48"/>
  <c r="H8" i="48"/>
  <c r="C12" i="46"/>
  <c r="AB16" i="35"/>
  <c r="AA43" i="21"/>
  <c r="U43" i="21"/>
  <c r="AA13" i="40"/>
  <c r="E77" i="40"/>
  <c r="F77" i="40" s="1"/>
  <c r="G77" i="40" s="1"/>
  <c r="H77" i="40" s="1"/>
  <c r="I77" i="40" s="1"/>
  <c r="J77" i="40" s="1"/>
  <c r="K77" i="40" s="1"/>
  <c r="L77" i="40" s="1"/>
  <c r="M77" i="40" s="1"/>
  <c r="R16" i="4"/>
  <c r="P16" i="4"/>
  <c r="D3" i="35"/>
  <c r="G4" i="4"/>
  <c r="S37" i="34"/>
  <c r="J16" i="35"/>
  <c r="U42" i="21"/>
  <c r="AC26" i="36"/>
  <c r="W25" i="35"/>
  <c r="AZ322" i="3"/>
  <c r="H13" i="39"/>
  <c r="AB13" i="39"/>
  <c r="F13" i="39"/>
  <c r="J13" i="39"/>
  <c r="AC13" i="39" s="1"/>
  <c r="H11" i="37"/>
  <c r="AB11" i="37" s="1"/>
  <c r="W37" i="37"/>
  <c r="AA36" i="37"/>
  <c r="AB17" i="37"/>
  <c r="AZ516" i="3"/>
  <c r="AC29" i="33"/>
  <c r="AA45" i="33"/>
  <c r="AC10" i="36"/>
  <c r="S25" i="35"/>
  <c r="W44" i="33"/>
  <c r="AC30" i="33"/>
  <c r="W30" i="33"/>
  <c r="AC29" i="37"/>
  <c r="W32" i="36"/>
  <c r="AC32" i="36"/>
  <c r="AB28" i="33"/>
  <c r="J33" i="34"/>
  <c r="AC33" i="34" s="1"/>
  <c r="AB36" i="34"/>
  <c r="J40" i="34"/>
  <c r="W40" i="34" s="1"/>
  <c r="F16" i="35"/>
  <c r="S24" i="36"/>
  <c r="W42" i="33"/>
  <c r="J35" i="34"/>
  <c r="W35" i="34" s="1"/>
  <c r="F107" i="34"/>
  <c r="G107" i="34"/>
  <c r="H107" i="34" s="1"/>
  <c r="I107" i="34" s="1"/>
  <c r="J107" i="34" s="1"/>
  <c r="K107" i="34" s="1"/>
  <c r="L107" i="34" s="1"/>
  <c r="M107" i="34" s="1"/>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AA11" i="34" s="1"/>
  <c r="S11" i="34"/>
  <c r="E80" i="34"/>
  <c r="F80" i="34"/>
  <c r="G80" i="34" s="1"/>
  <c r="H17" i="34"/>
  <c r="AB17" i="34" s="1"/>
  <c r="AC27" i="34"/>
  <c r="W27" i="34"/>
  <c r="S12" i="35"/>
  <c r="AB28" i="35"/>
  <c r="U28" i="35"/>
  <c r="J13" i="33"/>
  <c r="W13" i="33" s="1"/>
  <c r="H13" i="33"/>
  <c r="U13" i="33" s="1"/>
  <c r="H29" i="33"/>
  <c r="AB29" i="33" s="1"/>
  <c r="F29" i="33"/>
  <c r="AA29" i="33" s="1"/>
  <c r="J12" i="34"/>
  <c r="AC12" i="34" s="1"/>
  <c r="J14" i="34"/>
  <c r="W14" i="34" s="1"/>
  <c r="F14" i="34"/>
  <c r="H14" i="34"/>
  <c r="AB14" i="34" s="1"/>
  <c r="H30" i="34"/>
  <c r="AB30" i="34" s="1"/>
  <c r="F30" i="34"/>
  <c r="S30" i="34" s="1"/>
  <c r="J30" i="34"/>
  <c r="W30" i="34" s="1"/>
  <c r="H32" i="34"/>
  <c r="AB32" i="34" s="1"/>
  <c r="F32" i="34"/>
  <c r="J32" i="34"/>
  <c r="W32" i="34" s="1"/>
  <c r="H46" i="34"/>
  <c r="AB46" i="34" s="1"/>
  <c r="F46" i="34"/>
  <c r="AA46" i="34" s="1"/>
  <c r="J46" i="34"/>
  <c r="AC46" i="34" s="1"/>
  <c r="H11" i="35"/>
  <c r="U11" i="35" s="1"/>
  <c r="J11" i="35"/>
  <c r="AC11" i="35" s="1"/>
  <c r="F96" i="37"/>
  <c r="H32" i="37"/>
  <c r="AB32" i="37" s="1"/>
  <c r="F19" i="39"/>
  <c r="S19" i="39" s="1"/>
  <c r="H19" i="39"/>
  <c r="J19" i="39"/>
  <c r="W19" i="39" s="1"/>
  <c r="F43" i="39"/>
  <c r="AA43" i="39" s="1"/>
  <c r="H43" i="39"/>
  <c r="U43" i="39" s="1"/>
  <c r="J43" i="39"/>
  <c r="AC43" i="39" s="1"/>
  <c r="F99" i="37"/>
  <c r="AC27" i="37"/>
  <c r="U25" i="35"/>
  <c r="U31" i="34"/>
  <c r="AC40" i="37"/>
  <c r="W40" i="37"/>
  <c r="AC45" i="21"/>
  <c r="S28" i="33"/>
  <c r="S14" i="21"/>
  <c r="AA44" i="34"/>
  <c r="U29" i="35"/>
  <c r="AC19" i="33"/>
  <c r="U43" i="34"/>
  <c r="AB43" i="34"/>
  <c r="AC34" i="37"/>
  <c r="S35" i="37"/>
  <c r="AA35" i="37"/>
  <c r="AB10" i="35"/>
  <c r="AA32" i="21"/>
  <c r="AB34" i="21"/>
  <c r="BL571" i="3"/>
  <c r="BL570" i="3"/>
  <c r="F42" i="21"/>
  <c r="AA42" i="21" s="1"/>
  <c r="AB40" i="33"/>
  <c r="U40" i="33"/>
  <c r="AA35" i="34"/>
  <c r="S35" i="34"/>
  <c r="H27" i="34"/>
  <c r="AB27" i="34" s="1"/>
  <c r="AB8" i="35"/>
  <c r="U8" i="35"/>
  <c r="J14" i="35"/>
  <c r="AC14" i="35"/>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s="1"/>
  <c r="J34" i="39"/>
  <c r="AC34" i="39" s="1"/>
  <c r="F39" i="39"/>
  <c r="S39" i="39" s="1"/>
  <c r="H39" i="39"/>
  <c r="AB39" i="39" s="1"/>
  <c r="J39" i="39"/>
  <c r="J29" i="35"/>
  <c r="AC29" i="35"/>
  <c r="F29" i="35"/>
  <c r="S29" i="35" s="1"/>
  <c r="W30" i="36"/>
  <c r="AC30" i="36"/>
  <c r="F37" i="39"/>
  <c r="S37" i="39"/>
  <c r="H37" i="39"/>
  <c r="U37" i="39" s="1"/>
  <c r="J37" i="39"/>
  <c r="W37" i="39" s="1"/>
  <c r="BL568" i="3"/>
  <c r="BA568" i="3"/>
  <c r="BL567" i="3"/>
  <c r="BA567" i="3"/>
  <c r="AZ567" i="3"/>
  <c r="BL566" i="3"/>
  <c r="AZ566" i="3" s="1"/>
  <c r="BL565" i="3"/>
  <c r="AZ565" i="3" s="1"/>
  <c r="BA564" i="3"/>
  <c r="AZ564" i="3"/>
  <c r="BA563" i="3"/>
  <c r="AZ563" i="3"/>
  <c r="BL554" i="3"/>
  <c r="AZ554" i="3" s="1"/>
  <c r="BA553" i="3"/>
  <c r="AZ553" i="3"/>
  <c r="BA552" i="3"/>
  <c r="AZ552" i="3" s="1"/>
  <c r="BL549" i="3"/>
  <c r="BA549" i="3"/>
  <c r="AZ549" i="3" s="1"/>
  <c r="BL548" i="3"/>
  <c r="BA548" i="3"/>
  <c r="AZ548" i="3" s="1"/>
  <c r="BL547" i="3"/>
  <c r="BA547" i="3"/>
  <c r="BL539" i="3"/>
  <c r="BA539" i="3"/>
  <c r="AZ539" i="3" s="1"/>
  <c r="BA538" i="3"/>
  <c r="AZ538" i="3" s="1"/>
  <c r="BL537" i="3"/>
  <c r="BA537" i="3"/>
  <c r="BL536" i="3"/>
  <c r="AZ536" i="3" s="1"/>
  <c r="BA535" i="3"/>
  <c r="AZ535" i="3" s="1"/>
  <c r="BA534" i="3"/>
  <c r="AZ534" i="3" s="1"/>
  <c r="BL531" i="3"/>
  <c r="AZ531" i="3" s="1"/>
  <c r="BL530" i="3"/>
  <c r="BA530" i="3"/>
  <c r="BL529" i="3"/>
  <c r="BA529" i="3"/>
  <c r="BL528" i="3"/>
  <c r="AZ528" i="3" s="1"/>
  <c r="BA527" i="3"/>
  <c r="AZ527" i="3" s="1"/>
  <c r="BA526" i="3"/>
  <c r="AZ526" i="3" s="1"/>
  <c r="BL523" i="3"/>
  <c r="BA523" i="3"/>
  <c r="AZ523" i="3" s="1"/>
  <c r="BL522" i="3"/>
  <c r="BA522" i="3"/>
  <c r="BL521" i="3"/>
  <c r="AZ521" i="3" s="1"/>
  <c r="BA519" i="3"/>
  <c r="AZ519" i="3" s="1"/>
  <c r="BL518" i="3"/>
  <c r="BA518" i="3"/>
  <c r="AZ518" i="3"/>
  <c r="BL517" i="3"/>
  <c r="BA517" i="3"/>
  <c r="BL515" i="3"/>
  <c r="BA515" i="3"/>
  <c r="AZ515" i="3" s="1"/>
  <c r="BA514" i="3"/>
  <c r="BL513" i="3"/>
  <c r="BA513" i="3"/>
  <c r="AZ513" i="3"/>
  <c r="BL512" i="3"/>
  <c r="AZ512" i="3" s="1"/>
  <c r="BA511" i="3"/>
  <c r="AZ511" i="3"/>
  <c r="BA510" i="3"/>
  <c r="AZ510" i="3" s="1"/>
  <c r="BL509" i="3"/>
  <c r="AZ509" i="3" s="1"/>
  <c r="BL507" i="3"/>
  <c r="BA507" i="3"/>
  <c r="AZ507" i="3" s="1"/>
  <c r="BA506" i="3"/>
  <c r="AZ506" i="3"/>
  <c r="BL505" i="3"/>
  <c r="AZ505" i="3"/>
  <c r="BL504" i="3"/>
  <c r="BA504" i="3"/>
  <c r="BA500" i="3"/>
  <c r="BL499" i="3"/>
  <c r="BA499" i="3"/>
  <c r="AZ499" i="3" s="1"/>
  <c r="BL497" i="3"/>
  <c r="BA497" i="3"/>
  <c r="AZ497" i="3" s="1"/>
  <c r="BL496" i="3"/>
  <c r="BA496" i="3"/>
  <c r="AZ496" i="3" s="1"/>
  <c r="BA495" i="3"/>
  <c r="AZ495" i="3" s="1"/>
  <c r="BL494" i="3"/>
  <c r="BA494" i="3"/>
  <c r="BA491" i="3"/>
  <c r="AZ491" i="3" s="1"/>
  <c r="BL490" i="3"/>
  <c r="BA490" i="3"/>
  <c r="BL489" i="3"/>
  <c r="BA489" i="3"/>
  <c r="AZ489" i="3"/>
  <c r="BL487" i="3"/>
  <c r="BL486" i="3"/>
  <c r="BA486" i="3"/>
  <c r="BA485" i="3"/>
  <c r="AZ485" i="3"/>
  <c r="BA483" i="3"/>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J30" i="40"/>
  <c r="AC30" i="40" s="1"/>
  <c r="F38" i="40"/>
  <c r="AA38" i="40" s="1"/>
  <c r="AC12" i="21"/>
  <c r="W12" i="21"/>
  <c r="AB33" i="21"/>
  <c r="S35" i="21"/>
  <c r="U8" i="21"/>
  <c r="S34" i="21"/>
  <c r="AC36" i="21"/>
  <c r="AB8" i="33"/>
  <c r="U8" i="33"/>
  <c r="E106" i="33"/>
  <c r="F106" i="33" s="1"/>
  <c r="G106" i="33" s="1"/>
  <c r="H106" i="33" s="1"/>
  <c r="I106" i="33" s="1"/>
  <c r="J106" i="33" s="1"/>
  <c r="K106" i="33" s="1"/>
  <c r="L106" i="33" s="1"/>
  <c r="M106" i="33" s="1"/>
  <c r="H34" i="33"/>
  <c r="U34" i="33" s="1"/>
  <c r="F34" i="33"/>
  <c r="S34" i="33"/>
  <c r="E121" i="33"/>
  <c r="F41" i="33"/>
  <c r="AC34" i="34"/>
  <c r="W34" i="34"/>
  <c r="AA39" i="34"/>
  <c r="S39" i="34"/>
  <c r="S43" i="34"/>
  <c r="E78" i="34"/>
  <c r="F78" i="34" s="1"/>
  <c r="F15" i="34"/>
  <c r="AA15" i="34" s="1"/>
  <c r="AC28" i="35"/>
  <c r="W28" i="35"/>
  <c r="J20" i="35"/>
  <c r="AC20" i="35" s="1"/>
  <c r="E72" i="35"/>
  <c r="F72" i="35" s="1"/>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J16" i="39"/>
  <c r="AC16" i="39" s="1"/>
  <c r="F23" i="39"/>
  <c r="AA23" i="39" s="1"/>
  <c r="E96" i="39"/>
  <c r="F27" i="39"/>
  <c r="AA27" i="39" s="1"/>
  <c r="H27" i="39"/>
  <c r="J27" i="39"/>
  <c r="AC27" i="39" s="1"/>
  <c r="F15" i="40"/>
  <c r="AA15" i="40" s="1"/>
  <c r="J15" i="40"/>
  <c r="W15" i="40" s="1"/>
  <c r="AB15" i="40"/>
  <c r="E91" i="40"/>
  <c r="F91" i="40" s="1"/>
  <c r="G91" i="40" s="1"/>
  <c r="H23" i="40"/>
  <c r="U23" i="40" s="1"/>
  <c r="H41" i="40"/>
  <c r="AB41" i="40" s="1"/>
  <c r="F41" i="40"/>
  <c r="AA41" i="40"/>
  <c r="J41" i="40"/>
  <c r="H36" i="33"/>
  <c r="H37" i="34"/>
  <c r="F15" i="39"/>
  <c r="AA15" i="39" s="1"/>
  <c r="H15" i="39"/>
  <c r="AB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3" i="40"/>
  <c r="J25" i="40"/>
  <c r="AC25" i="40" s="1"/>
  <c r="J32" i="40"/>
  <c r="AC32" i="40" s="1"/>
  <c r="H32" i="40"/>
  <c r="U32" i="40" s="1"/>
  <c r="H33" i="40"/>
  <c r="AB33" i="40" s="1"/>
  <c r="F33" i="40"/>
  <c r="J33" i="40"/>
  <c r="AC33" i="40" s="1"/>
  <c r="H35" i="40"/>
  <c r="AB35" i="40" s="1"/>
  <c r="F35" i="40"/>
  <c r="AA35" i="40" s="1"/>
  <c r="J35" i="40"/>
  <c r="J38" i="39"/>
  <c r="W38" i="39" s="1"/>
  <c r="H38" i="39"/>
  <c r="U38" i="39" s="1"/>
  <c r="J16" i="40"/>
  <c r="W16" i="40" s="1"/>
  <c r="J14" i="40"/>
  <c r="H42" i="40"/>
  <c r="U42" i="40" s="1"/>
  <c r="H40" i="40"/>
  <c r="U40" i="40"/>
  <c r="H34" i="40"/>
  <c r="U34" i="40"/>
  <c r="AZ423" i="3"/>
  <c r="J42" i="40"/>
  <c r="AC42" i="40" s="1"/>
  <c r="J40" i="40"/>
  <c r="AC40" i="40" s="1"/>
  <c r="J34" i="40"/>
  <c r="H16" i="40"/>
  <c r="AB16" i="40" s="1"/>
  <c r="H14" i="40"/>
  <c r="F32" i="40"/>
  <c r="AA32" i="40" s="1"/>
  <c r="AZ449" i="3"/>
  <c r="AZ452" i="3"/>
  <c r="M1" i="46"/>
  <c r="M6" i="46"/>
  <c r="M10" i="46"/>
  <c r="N2" i="46"/>
  <c r="N5" i="46"/>
  <c r="F58" i="46"/>
  <c r="H61" i="46" s="1"/>
  <c r="N7" i="46"/>
  <c r="AZ469" i="3"/>
  <c r="AZ474" i="3"/>
  <c r="AZ244" i="3"/>
  <c r="AZ247" i="3"/>
  <c r="M7" i="46"/>
  <c r="M11" i="46"/>
  <c r="N3" i="46"/>
  <c r="N6" i="46"/>
  <c r="N10" i="46"/>
  <c r="AZ177" i="3"/>
  <c r="AZ99" i="3"/>
  <c r="J13" i="40"/>
  <c r="W13" i="40"/>
  <c r="W40" i="40"/>
  <c r="AB32" i="40"/>
  <c r="AB25" i="39"/>
  <c r="U37" i="34"/>
  <c r="AB37" i="34"/>
  <c r="AC41" i="40"/>
  <c r="W41" i="40"/>
  <c r="U41" i="40"/>
  <c r="J23" i="40"/>
  <c r="F23" i="40"/>
  <c r="S23" i="40" s="1"/>
  <c r="AC15" i="40"/>
  <c r="W27" i="39"/>
  <c r="S23" i="39"/>
  <c r="H20" i="35"/>
  <c r="U20" i="35" s="1"/>
  <c r="F20" i="35"/>
  <c r="AA20" i="35" s="1"/>
  <c r="H15" i="34"/>
  <c r="U15" i="34" s="1"/>
  <c r="AB15" i="34"/>
  <c r="G78" i="34"/>
  <c r="J15" i="34"/>
  <c r="AC15" i="34" s="1"/>
  <c r="H41" i="33"/>
  <c r="U41" i="33" s="1"/>
  <c r="F121" i="33"/>
  <c r="G121" i="33" s="1"/>
  <c r="H121" i="33" s="1"/>
  <c r="I121" i="33" s="1"/>
  <c r="J121" i="33" s="1"/>
  <c r="K121" i="33" s="1"/>
  <c r="L121" i="33" s="1"/>
  <c r="M121" i="33" s="1"/>
  <c r="F30" i="40"/>
  <c r="AA30" i="40" s="1"/>
  <c r="H99" i="40"/>
  <c r="I99" i="40" s="1"/>
  <c r="J99" i="40"/>
  <c r="K99" i="40" s="1"/>
  <c r="L99" i="40" s="1"/>
  <c r="M99" i="40" s="1"/>
  <c r="AB38" i="34"/>
  <c r="AZ486" i="3"/>
  <c r="AZ504" i="3"/>
  <c r="AZ529" i="3"/>
  <c r="AZ530" i="3"/>
  <c r="AZ537" i="3"/>
  <c r="AZ547" i="3"/>
  <c r="AB37" i="39"/>
  <c r="J29" i="39"/>
  <c r="AC29" i="39" s="1"/>
  <c r="AB21" i="39"/>
  <c r="AA14" i="35"/>
  <c r="G99" i="37"/>
  <c r="F33" i="37"/>
  <c r="S33" i="37" s="1"/>
  <c r="AB19" i="39"/>
  <c r="U19" i="39"/>
  <c r="U46" i="34"/>
  <c r="AC30" i="34"/>
  <c r="W12" i="34"/>
  <c r="U29" i="33"/>
  <c r="AC13" i="33"/>
  <c r="U17" i="34"/>
  <c r="H15" i="33"/>
  <c r="U15" i="33" s="1"/>
  <c r="AA11" i="33"/>
  <c r="AA40" i="21"/>
  <c r="U17" i="21"/>
  <c r="S13" i="39"/>
  <c r="AA13" i="39"/>
  <c r="AB34" i="40"/>
  <c r="AB42" i="40"/>
  <c r="H25" i="40"/>
  <c r="AB25" i="40" s="1"/>
  <c r="F93" i="40"/>
  <c r="G93" i="40" s="1"/>
  <c r="U47" i="39"/>
  <c r="W15" i="39"/>
  <c r="J37" i="34"/>
  <c r="J36" i="33"/>
  <c r="W36" i="33" s="1"/>
  <c r="S41" i="40"/>
  <c r="AB23" i="40"/>
  <c r="H23" i="39"/>
  <c r="AB23" i="39" s="1"/>
  <c r="J23" i="39"/>
  <c r="AC23" i="39" s="1"/>
  <c r="F96" i="39"/>
  <c r="G96" i="39" s="1"/>
  <c r="S16" i="39"/>
  <c r="S15" i="34"/>
  <c r="AA34" i="33"/>
  <c r="J34" i="33"/>
  <c r="AC34" i="33" s="1"/>
  <c r="U30" i="40"/>
  <c r="AA37" i="39"/>
  <c r="W29" i="35"/>
  <c r="AC39" i="39"/>
  <c r="W39" i="39"/>
  <c r="AA39" i="39"/>
  <c r="U34" i="39"/>
  <c r="AB46" i="39"/>
  <c r="AB44" i="39"/>
  <c r="AC33" i="39"/>
  <c r="W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S43" i="39"/>
  <c r="AA19" i="39"/>
  <c r="G96" i="37"/>
  <c r="H96" i="37" s="1"/>
  <c r="I96" i="37" s="1"/>
  <c r="J96" i="37" s="1"/>
  <c r="K96" i="37" s="1"/>
  <c r="L96" i="37" s="1"/>
  <c r="M96" i="37" s="1"/>
  <c r="F32" i="37"/>
  <c r="S32" i="37" s="1"/>
  <c r="AB11" i="35"/>
  <c r="S46" i="34"/>
  <c r="U32" i="34"/>
  <c r="U14" i="34"/>
  <c r="AB13" i="33"/>
  <c r="F17" i="34"/>
  <c r="AA17" i="34" s="1"/>
  <c r="J17" i="34"/>
  <c r="AC17" i="34" s="1"/>
  <c r="H11" i="34"/>
  <c r="AB11" i="34" s="1"/>
  <c r="J35" i="33"/>
  <c r="W35" i="33" s="1"/>
  <c r="S32" i="33"/>
  <c r="AC15" i="33"/>
  <c r="H11" i="33"/>
  <c r="U11" i="33" s="1"/>
  <c r="H10" i="33"/>
  <c r="U10" i="33" s="1"/>
  <c r="I66" i="33"/>
  <c r="J10" i="33"/>
  <c r="W10" i="33" s="1"/>
  <c r="U40" i="21"/>
  <c r="U11" i="37"/>
  <c r="U13" i="39"/>
  <c r="AC13" i="40"/>
  <c r="J11" i="34"/>
  <c r="W11" i="34" s="1"/>
  <c r="AC36" i="33"/>
  <c r="F25" i="40"/>
  <c r="AA25" i="40" s="1"/>
  <c r="J11" i="33"/>
  <c r="W11" i="33" s="1"/>
  <c r="H33" i="37"/>
  <c r="AB33" i="37" s="1"/>
  <c r="W15" i="34"/>
  <c r="AB20" i="35"/>
  <c r="AP11" i="1"/>
  <c r="B11" i="1"/>
  <c r="E11" i="1" s="1"/>
  <c r="K11" i="1"/>
  <c r="M11" i="1" s="1"/>
  <c r="O11" i="1" s="1"/>
  <c r="P11" i="1" s="1"/>
  <c r="B9" i="1"/>
  <c r="E9" i="1" s="1"/>
  <c r="K9" i="1"/>
  <c r="M9" i="1" s="1"/>
  <c r="B7" i="1"/>
  <c r="E7" i="1" s="1"/>
  <c r="K7" i="1"/>
  <c r="M7" i="1" s="1"/>
  <c r="O7" i="1" s="1"/>
  <c r="P7" i="1" s="1"/>
  <c r="F6" i="1"/>
  <c r="AP6" i="1" s="1"/>
  <c r="M22" i="44"/>
  <c r="S8" i="36"/>
  <c r="AA26" i="36"/>
  <c r="AA28" i="36"/>
  <c r="H20" i="36"/>
  <c r="U20" i="36"/>
  <c r="F68" i="36"/>
  <c r="G68" i="36" s="1"/>
  <c r="J20" i="36"/>
  <c r="W20" i="36" s="1"/>
  <c r="F20" i="36"/>
  <c r="S20" i="36" s="1"/>
  <c r="F62" i="36"/>
  <c r="G62" i="36"/>
  <c r="J14" i="36"/>
  <c r="AC14" i="36" s="1"/>
  <c r="H14" i="36"/>
  <c r="U14" i="36" s="1"/>
  <c r="F14" i="36"/>
  <c r="S14" i="36" s="1"/>
  <c r="U27" i="36"/>
  <c r="U32" i="36"/>
  <c r="AB12" i="36"/>
  <c r="S33" i="36"/>
  <c r="AA27" i="36"/>
  <c r="S16" i="36"/>
  <c r="S29" i="36"/>
  <c r="AC33" i="35"/>
  <c r="U22" i="35"/>
  <c r="S8" i="35"/>
  <c r="U33" i="35"/>
  <c r="W20" i="35"/>
  <c r="S23" i="35"/>
  <c r="AB14" i="35"/>
  <c r="AC10" i="35"/>
  <c r="AC18" i="35"/>
  <c r="W18" i="35"/>
  <c r="U18" i="35"/>
  <c r="AB18" i="35"/>
  <c r="S30" i="35"/>
  <c r="AA35" i="35"/>
  <c r="AB30" i="35"/>
  <c r="S27" i="35"/>
  <c r="S28" i="35"/>
  <c r="J26" i="35"/>
  <c r="F26" i="35"/>
  <c r="H26" i="35"/>
  <c r="AB26" i="35" s="1"/>
  <c r="AB9" i="37"/>
  <c r="W12" i="37"/>
  <c r="AA9" i="37"/>
  <c r="S17" i="37"/>
  <c r="W28" i="37"/>
  <c r="AB37" i="37"/>
  <c r="AA31" i="37"/>
  <c r="U32" i="37"/>
  <c r="J33" i="37"/>
  <c r="W33" i="37"/>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S10" i="37"/>
  <c r="W46" i="34"/>
  <c r="AC45" i="34"/>
  <c r="AA40" i="34"/>
  <c r="W33" i="34"/>
  <c r="U30" i="34"/>
  <c r="AB33" i="34"/>
  <c r="AC35" i="34"/>
  <c r="AA30" i="34"/>
  <c r="AC32" i="34"/>
  <c r="AA33" i="34"/>
  <c r="U44" i="34"/>
  <c r="U34" i="34"/>
  <c r="J25" i="34"/>
  <c r="H25" i="34"/>
  <c r="F25" i="34"/>
  <c r="S25" i="34" s="1"/>
  <c r="J23" i="34"/>
  <c r="F86" i="34"/>
  <c r="G86" i="34" s="1"/>
  <c r="F23" i="34"/>
  <c r="H23" i="34"/>
  <c r="AC11" i="34"/>
  <c r="U11" i="34"/>
  <c r="W10" i="34"/>
  <c r="U10" i="34"/>
  <c r="AC40" i="34"/>
  <c r="W44" i="34"/>
  <c r="W19" i="34"/>
  <c r="W29" i="34"/>
  <c r="AC21" i="34"/>
  <c r="W21" i="34"/>
  <c r="AB21" i="34"/>
  <c r="U21" i="34"/>
  <c r="U27" i="34"/>
  <c r="U19" i="34"/>
  <c r="AB41" i="34"/>
  <c r="S13" i="34"/>
  <c r="AA41" i="34"/>
  <c r="S10" i="34"/>
  <c r="U39" i="33"/>
  <c r="U37" i="33"/>
  <c r="S35" i="33"/>
  <c r="W34" i="33"/>
  <c r="AC12" i="33"/>
  <c r="AB11" i="33"/>
  <c r="AB41" i="33"/>
  <c r="AC35"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AA23" i="33" s="1"/>
  <c r="H23" i="33"/>
  <c r="U19" i="33"/>
  <c r="F79" i="33"/>
  <c r="G79" i="33" s="1"/>
  <c r="F17" i="33"/>
  <c r="H17" i="33"/>
  <c r="J17" i="33"/>
  <c r="S10" i="33"/>
  <c r="S14" i="33"/>
  <c r="AC21" i="33"/>
  <c r="W21" i="33"/>
  <c r="W14" i="33"/>
  <c r="AB10"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B15" i="21" s="1"/>
  <c r="AC11" i="21"/>
  <c r="AB11" i="21"/>
  <c r="W13" i="21"/>
  <c r="AA11" i="21"/>
  <c r="AC21" i="21"/>
  <c r="W21" i="21"/>
  <c r="AC19" i="21"/>
  <c r="W10" i="21"/>
  <c r="AC38" i="21"/>
  <c r="AB21" i="21"/>
  <c r="U21" i="21"/>
  <c r="AB29" i="21"/>
  <c r="AA30" i="21"/>
  <c r="AA31" i="21"/>
  <c r="W33" i="40"/>
  <c r="U33" i="40"/>
  <c r="S35" i="40"/>
  <c r="U15" i="40"/>
  <c r="S14" i="40"/>
  <c r="S15" i="40"/>
  <c r="AB13" i="40"/>
  <c r="S16" i="40"/>
  <c r="W11" i="40"/>
  <c r="AA21" i="40"/>
  <c r="U21" i="40"/>
  <c r="W25" i="40"/>
  <c r="W42" i="40"/>
  <c r="U35" i="40"/>
  <c r="F37" i="40"/>
  <c r="AA37" i="40" s="1"/>
  <c r="J37" i="40"/>
  <c r="AC37" i="40"/>
  <c r="H37" i="40"/>
  <c r="G112" i="40"/>
  <c r="H112" i="40" s="1"/>
  <c r="I112" i="40" s="1"/>
  <c r="J112" i="40" s="1"/>
  <c r="K112" i="40" s="1"/>
  <c r="L112" i="40" s="1"/>
  <c r="M112" i="40" s="1"/>
  <c r="F39" i="40"/>
  <c r="S39" i="40" s="1"/>
  <c r="S38" i="40"/>
  <c r="H39" i="40"/>
  <c r="AB39" i="40" s="1"/>
  <c r="J39" i="40"/>
  <c r="W38" i="40"/>
  <c r="F29" i="40"/>
  <c r="H29" i="40"/>
  <c r="J29" i="40"/>
  <c r="AC29" i="40" s="1"/>
  <c r="F97" i="40"/>
  <c r="G97" i="40"/>
  <c r="H97" i="40" s="1"/>
  <c r="I97" i="40" s="1"/>
  <c r="J97" i="40" s="1"/>
  <c r="K97" i="40" s="1"/>
  <c r="L97" i="40" s="1"/>
  <c r="M97" i="40" s="1"/>
  <c r="S30" i="40"/>
  <c r="S25" i="40"/>
  <c r="AA23" i="40"/>
  <c r="F87" i="40"/>
  <c r="G87" i="40" s="1"/>
  <c r="F19" i="40"/>
  <c r="AA19" i="40" s="1"/>
  <c r="H19" i="40"/>
  <c r="J19" i="40"/>
  <c r="W19" i="40" s="1"/>
  <c r="W17" i="40"/>
  <c r="AC17" i="40"/>
  <c r="F17" i="40"/>
  <c r="AA17" i="40" s="1"/>
  <c r="H17" i="40"/>
  <c r="AB17" i="40" s="1"/>
  <c r="W21" i="40"/>
  <c r="AB40" i="40"/>
  <c r="U10" i="40"/>
  <c r="U27" i="40"/>
  <c r="AB27" i="40"/>
  <c r="AC44" i="39"/>
  <c r="W13" i="39"/>
  <c r="S11" i="39"/>
  <c r="AB45" i="39"/>
  <c r="AA21" i="39"/>
  <c r="AC19" i="39"/>
  <c r="W29" i="39"/>
  <c r="S29" i="39"/>
  <c r="AC21" i="39"/>
  <c r="AC17" i="39"/>
  <c r="S14" i="39"/>
  <c r="U11" i="39"/>
  <c r="U31" i="39"/>
  <c r="AB31" i="39"/>
  <c r="S25" i="39"/>
  <c r="S38" i="39"/>
  <c r="S22" i="31"/>
  <c r="B20" i="31" s="1"/>
  <c r="D18" i="9"/>
  <c r="M44" i="9"/>
  <c r="M43" i="9"/>
  <c r="M20" i="15"/>
  <c r="A18" i="64"/>
  <c r="B74" i="63" s="1"/>
  <c r="C53" i="10"/>
  <c r="A25" i="64" s="1"/>
  <c r="A18" i="51"/>
  <c r="B14" i="63" s="1"/>
  <c r="BA16" i="3"/>
  <c r="BA17" i="3"/>
  <c r="AZ17" i="3" s="1"/>
  <c r="F3" i="35"/>
  <c r="K1" i="43"/>
  <c r="K1" i="12"/>
  <c r="G1" i="44"/>
  <c r="I4" i="6"/>
  <c r="G3" i="46" s="1"/>
  <c r="AZ15" i="3"/>
  <c r="BK5" i="3"/>
  <c r="BO5" i="3"/>
  <c r="BP5" i="3"/>
  <c r="BN5" i="3"/>
  <c r="G29" i="6" s="1"/>
  <c r="E29" i="6" s="1"/>
  <c r="K15" i="1" s="1"/>
  <c r="BL18" i="3"/>
  <c r="AZ18" i="3" s="1"/>
  <c r="BC5" i="3"/>
  <c r="BD5" i="3"/>
  <c r="BR5" i="3"/>
  <c r="BS5" i="3"/>
  <c r="BQ5" i="3"/>
  <c r="BL16" i="3"/>
  <c r="AZ16" i="3" s="1"/>
  <c r="BM5" i="3"/>
  <c r="F29" i="6" s="1"/>
  <c r="BA13" i="3"/>
  <c r="G28" i="12"/>
  <c r="G26" i="12"/>
  <c r="D24" i="44"/>
  <c r="D26" i="44"/>
  <c r="G27" i="12"/>
  <c r="N8" i="46"/>
  <c r="N4" i="46"/>
  <c r="N1" i="46"/>
  <c r="F69" i="46" s="1"/>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I100" i="46"/>
  <c r="C24" i="46"/>
  <c r="N100" i="46"/>
  <c r="H100" i="46"/>
  <c r="F108" i="46"/>
  <c r="H80"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G66" i="36" s="1"/>
  <c r="H18" i="36"/>
  <c r="AB18" i="36" s="1"/>
  <c r="U16" i="36"/>
  <c r="AA34" i="36"/>
  <c r="U23" i="36"/>
  <c r="AC27" i="36"/>
  <c r="W28"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5" i="40"/>
  <c r="J27" i="40"/>
  <c r="W27" i="40" s="1"/>
  <c r="W37" i="40"/>
  <c r="S17"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AB20" i="36"/>
  <c r="AA20" i="36"/>
  <c r="W14" i="36"/>
  <c r="AA26" i="35"/>
  <c r="S26" i="35"/>
  <c r="W26" i="35"/>
  <c r="AC26" i="35"/>
  <c r="S19" i="37"/>
  <c r="W19" i="37"/>
  <c r="AB19" i="37"/>
  <c r="U19" i="37"/>
  <c r="AC17" i="37"/>
  <c r="W17" i="37"/>
  <c r="U25" i="34"/>
  <c r="AB25" i="34"/>
  <c r="W25" i="34"/>
  <c r="AC25" i="34"/>
  <c r="U23" i="34"/>
  <c r="AB23" i="34"/>
  <c r="AA23" i="34"/>
  <c r="S23" i="34"/>
  <c r="AC23" i="34"/>
  <c r="W23" i="34"/>
  <c r="AA25" i="33"/>
  <c r="S25" i="33"/>
  <c r="U23" i="33"/>
  <c r="AB23" i="33"/>
  <c r="W23" i="33"/>
  <c r="AC23" i="33"/>
  <c r="S23" i="33"/>
  <c r="W17" i="33"/>
  <c r="AC17" i="33"/>
  <c r="AA17" i="33"/>
  <c r="S17" i="33"/>
  <c r="U17" i="33"/>
  <c r="AB17" i="33"/>
  <c r="U23" i="21"/>
  <c r="AB23" i="21"/>
  <c r="AA23" i="21"/>
  <c r="S23" i="21"/>
  <c r="U15" i="21"/>
  <c r="W15" i="21"/>
  <c r="AC15" i="21"/>
  <c r="U39" i="40"/>
  <c r="AC39" i="40"/>
  <c r="W39" i="40"/>
  <c r="U37" i="40"/>
  <c r="AB37" i="40"/>
  <c r="U29" i="40"/>
  <c r="AB29" i="40"/>
  <c r="AA29" i="40"/>
  <c r="S29" i="40"/>
  <c r="AB19" i="40"/>
  <c r="U19" i="40"/>
  <c r="A17" i="51"/>
  <c r="B13" i="63"/>
  <c r="AT6" i="3"/>
  <c r="A9" i="64"/>
  <c r="A9" i="51"/>
  <c r="B9" i="63" s="1"/>
  <c r="A3" i="55"/>
  <c r="B56" i="63" s="1"/>
  <c r="E4" i="4"/>
  <c r="B21" i="55" s="1"/>
  <c r="B72" i="63" s="1"/>
  <c r="C4" i="4"/>
  <c r="B20" i="55" s="1"/>
  <c r="B70" i="63" s="1"/>
  <c r="J18" i="36"/>
  <c r="AE8" i="1"/>
  <c r="W18" i="36"/>
  <c r="AC18" i="36"/>
  <c r="AG6" i="1"/>
  <c r="S8" i="1"/>
  <c r="S9" i="1"/>
  <c r="R9" i="1"/>
  <c r="R8" i="1"/>
  <c r="C45" i="9"/>
  <c r="H14" i="66" s="1"/>
  <c r="B7" i="66" s="1"/>
  <c r="C44" i="9"/>
  <c r="G14" i="66"/>
  <c r="B6" i="66" s="1"/>
  <c r="O40" i="9"/>
  <c r="N69" i="9"/>
  <c r="M84" i="9" s="1"/>
  <c r="N84" i="9" s="1"/>
  <c r="O39" i="9"/>
  <c r="R6" i="54" s="1"/>
  <c r="B50" i="63" s="1"/>
  <c r="K29" i="9"/>
  <c r="K30" i="9" s="1"/>
  <c r="N76" i="9"/>
  <c r="C46" i="9"/>
  <c r="O41" i="9" s="1"/>
  <c r="R8" i="54" s="1"/>
  <c r="B54" i="63" s="1"/>
  <c r="J17" i="46"/>
  <c r="C17" i="46"/>
  <c r="F34" i="46"/>
  <c r="F38" i="46"/>
  <c r="F37" i="46"/>
  <c r="H113" i="46"/>
  <c r="H49" i="46"/>
  <c r="H53" i="46"/>
  <c r="D24" i="59"/>
  <c r="C23" i="59"/>
  <c r="D23" i="59" s="1"/>
  <c r="U21" i="59"/>
  <c r="F24" i="59"/>
  <c r="F23" i="59"/>
  <c r="F22" i="59" s="1"/>
  <c r="F21" i="59" s="1"/>
  <c r="H1" i="65"/>
  <c r="X7" i="46"/>
  <c r="E17" i="46"/>
  <c r="N17" i="46"/>
  <c r="O17" i="46"/>
  <c r="M17" i="46"/>
  <c r="L17" i="46"/>
  <c r="P12" i="1"/>
  <c r="H50" i="46"/>
  <c r="H48" i="46"/>
  <c r="F35" i="46"/>
  <c r="I17" i="46"/>
  <c r="D100" i="46"/>
  <c r="AF12" i="46"/>
  <c r="K100" i="46"/>
  <c r="AB12" i="46"/>
  <c r="AJ12" i="46"/>
  <c r="H60" i="46"/>
  <c r="H59" i="46"/>
  <c r="H55" i="46"/>
  <c r="H54" i="46"/>
  <c r="H52" i="46"/>
  <c r="H47" i="46"/>
  <c r="AD12" i="46"/>
  <c r="AH12" i="46"/>
  <c r="C22" i="59"/>
  <c r="C21" i="59" s="1"/>
  <c r="D22" i="59"/>
  <c r="F8" i="44"/>
  <c r="L48" i="44"/>
  <c r="F18" i="44"/>
  <c r="B10" i="67"/>
  <c r="M28" i="44"/>
  <c r="E10" i="67"/>
  <c r="B13" i="67"/>
  <c r="F9" i="67"/>
  <c r="E8" i="67"/>
  <c r="M11" i="44"/>
  <c r="M29" i="44"/>
  <c r="F12" i="67"/>
  <c r="F38" i="44"/>
  <c r="F11" i="67"/>
  <c r="E9" i="67"/>
  <c r="N5" i="65"/>
  <c r="F13" i="67"/>
  <c r="N7" i="65"/>
  <c r="E12" i="67"/>
  <c r="F39" i="44"/>
  <c r="E14" i="67"/>
  <c r="F15" i="44"/>
  <c r="M9" i="15"/>
  <c r="F13" i="15"/>
  <c r="B11" i="67"/>
  <c r="B9" i="67"/>
  <c r="F9" i="44"/>
  <c r="F43" i="44"/>
  <c r="N4" i="65"/>
  <c r="M31" i="44"/>
  <c r="M29" i="15"/>
  <c r="F11" i="44"/>
  <c r="N6" i="65"/>
  <c r="F10" i="44"/>
  <c r="B12" i="67"/>
  <c r="M25" i="44"/>
  <c r="M8" i="15"/>
  <c r="F10" i="67"/>
  <c r="F40" i="44"/>
  <c r="F16" i="15"/>
  <c r="E11" i="67"/>
  <c r="J17" i="44"/>
  <c r="E13" i="67"/>
  <c r="L49" i="44"/>
  <c r="N3" i="65"/>
  <c r="M24" i="44"/>
  <c r="B8" i="67"/>
  <c r="F14" i="67"/>
  <c r="M23" i="15"/>
  <c r="F28" i="44"/>
  <c r="F8" i="67"/>
  <c r="F7" i="15"/>
  <c r="F46" i="44"/>
  <c r="B14" i="67"/>
  <c r="M28" i="15"/>
  <c r="L47" i="15"/>
  <c r="M26" i="44"/>
  <c r="J3" i="65"/>
  <c r="M30" i="44"/>
  <c r="F26" i="15"/>
  <c r="M85" i="9" l="1"/>
  <c r="N85" i="9" s="1"/>
  <c r="AC11" i="33"/>
  <c r="AB15" i="33"/>
  <c r="H65" i="46"/>
  <c r="M86" i="9"/>
  <c r="N86" i="9" s="1"/>
  <c r="AC19" i="40"/>
  <c r="AA39" i="40"/>
  <c r="AA25" i="34"/>
  <c r="U26" i="35"/>
  <c r="W30" i="40"/>
  <c r="AC25" i="33"/>
  <c r="AA14" i="36"/>
  <c r="W32" i="40"/>
  <c r="AB33" i="36"/>
  <c r="AB36" i="33"/>
  <c r="U36" i="33"/>
  <c r="AA36" i="34"/>
  <c r="AB43" i="33"/>
  <c r="S9" i="21"/>
  <c r="AA9" i="21"/>
  <c r="H12" i="34"/>
  <c r="F12" i="34"/>
  <c r="F13" i="35"/>
  <c r="J13" i="35"/>
  <c r="W27" i="35"/>
  <c r="AC27" i="35"/>
  <c r="AA27" i="34"/>
  <c r="AB17" i="39"/>
  <c r="S20" i="35"/>
  <c r="AB27" i="39"/>
  <c r="U27" i="39"/>
  <c r="AZ490" i="3"/>
  <c r="AZ568" i="3"/>
  <c r="S14" i="34"/>
  <c r="AA14" i="34"/>
  <c r="AA16" i="35"/>
  <c r="S16" i="35"/>
  <c r="AB35" i="35"/>
  <c r="U15" i="37"/>
  <c r="AB15" i="37"/>
  <c r="H13" i="35"/>
  <c r="W41" i="34"/>
  <c r="AC41" i="34"/>
  <c r="U46" i="21"/>
  <c r="AB28" i="21"/>
  <c r="U28" i="21"/>
  <c r="W29" i="40"/>
  <c r="U18" i="36"/>
  <c r="S33" i="39"/>
  <c r="U12" i="37"/>
  <c r="AB12" i="37"/>
  <c r="F44" i="21"/>
  <c r="J44" i="21"/>
  <c r="H44" i="21"/>
  <c r="U27" i="33"/>
  <c r="AB27" i="33"/>
  <c r="AC8" i="34"/>
  <c r="W8" i="34"/>
  <c r="J9" i="35"/>
  <c r="F9" i="35"/>
  <c r="H9" i="35"/>
  <c r="AA23" i="36"/>
  <c r="S23" i="36"/>
  <c r="BA502" i="3"/>
  <c r="R22" i="31"/>
  <c r="B21" i="31" s="1"/>
  <c r="AB14" i="36"/>
  <c r="W17" i="34"/>
  <c r="U16" i="40"/>
  <c r="U39" i="39"/>
  <c r="AB23" i="35"/>
  <c r="AZ494" i="3"/>
  <c r="AZ336" i="3"/>
  <c r="AZ165" i="3"/>
  <c r="AA45" i="21"/>
  <c r="S45" i="21"/>
  <c r="W8" i="35"/>
  <c r="AC8" i="35"/>
  <c r="AC23" i="21"/>
  <c r="AB34" i="33"/>
  <c r="AC10" i="37"/>
  <c r="AA32" i="37"/>
  <c r="AC10" i="33"/>
  <c r="AA29" i="35"/>
  <c r="W14" i="39"/>
  <c r="AC47" i="39"/>
  <c r="J25" i="36"/>
  <c r="F25" i="36"/>
  <c r="H25" i="36"/>
  <c r="AC31" i="39"/>
  <c r="U16" i="39"/>
  <c r="AB16" i="39"/>
  <c r="U23" i="37"/>
  <c r="BL572" i="3"/>
  <c r="AZ572" i="3" s="1"/>
  <c r="AB34" i="35"/>
  <c r="U34" i="35"/>
  <c r="F13" i="36"/>
  <c r="H13" i="36"/>
  <c r="J13" i="36"/>
  <c r="U23" i="39"/>
  <c r="H62" i="46"/>
  <c r="M83" i="9"/>
  <c r="N83" i="9" s="1"/>
  <c r="N89" i="9" s="1"/>
  <c r="O89" i="9" s="1"/>
  <c r="S37" i="40"/>
  <c r="AA15" i="21"/>
  <c r="U41" i="39"/>
  <c r="AA33" i="37"/>
  <c r="AC20" i="36"/>
  <c r="AC14" i="34"/>
  <c r="AC37" i="34"/>
  <c r="W37" i="34"/>
  <c r="AC35" i="40"/>
  <c r="W35" i="40"/>
  <c r="U15" i="39"/>
  <c r="U29" i="39"/>
  <c r="AA32" i="34"/>
  <c r="S32" i="34"/>
  <c r="W16" i="35"/>
  <c r="AC16" i="35"/>
  <c r="AZ354" i="3"/>
  <c r="AC23" i="37"/>
  <c r="S19" i="21"/>
  <c r="W43" i="34"/>
  <c r="U45" i="34"/>
  <c r="AB45" i="34"/>
  <c r="AZ380" i="3"/>
  <c r="S30" i="33"/>
  <c r="AA30" i="33"/>
  <c r="AC38" i="33"/>
  <c r="W38" i="33"/>
  <c r="W23" i="36"/>
  <c r="AC23" i="36"/>
  <c r="AB25" i="33"/>
  <c r="U25" i="33"/>
  <c r="H66" i="46"/>
  <c r="M87" i="9"/>
  <c r="N87" i="9" s="1"/>
  <c r="S41" i="33"/>
  <c r="AA41" i="33"/>
  <c r="S36" i="35"/>
  <c r="AA36" i="35"/>
  <c r="AB10" i="21"/>
  <c r="U10" i="21"/>
  <c r="BA571" i="3"/>
  <c r="AZ571" i="3" s="1"/>
  <c r="AZ525" i="3"/>
  <c r="AZ501" i="3"/>
  <c r="H64" i="46"/>
  <c r="M88" i="9"/>
  <c r="N88" i="9" s="1"/>
  <c r="AC23" i="40"/>
  <c r="W23" i="40"/>
  <c r="AA47" i="39"/>
  <c r="S47" i="39"/>
  <c r="AA30" i="36"/>
  <c r="S30" i="36"/>
  <c r="AZ569" i="3"/>
  <c r="AZ533" i="3"/>
  <c r="S19" i="40"/>
  <c r="U17" i="40"/>
  <c r="H63" i="46"/>
  <c r="E69" i="46"/>
  <c r="B67" i="46" s="1"/>
  <c r="S17" i="34"/>
  <c r="W32" i="33"/>
  <c r="AA11" i="36"/>
  <c r="AA42" i="33"/>
  <c r="S42" i="33"/>
  <c r="AC9" i="34"/>
  <c r="W9" i="34"/>
  <c r="AZ517" i="3"/>
  <c r="U38" i="21"/>
  <c r="AC11" i="36"/>
  <c r="AC33" i="21"/>
  <c r="BL520" i="3"/>
  <c r="J14" i="21"/>
  <c r="H34" i="36"/>
  <c r="J34" i="36"/>
  <c r="S10" i="21"/>
  <c r="AC33" i="33"/>
  <c r="F32" i="36"/>
  <c r="BL569" i="3"/>
  <c r="AA46" i="21"/>
  <c r="U36" i="21"/>
  <c r="AB36" i="21"/>
  <c r="AZ432" i="3"/>
  <c r="AA22" i="35"/>
  <c r="S22" i="35"/>
  <c r="AZ156" i="3"/>
  <c r="W27" i="33"/>
  <c r="AZ556" i="3"/>
  <c r="AC28" i="33"/>
  <c r="AB30" i="21"/>
  <c r="BA551" i="3"/>
  <c r="AZ551" i="3" s="1"/>
  <c r="AZ411" i="3"/>
  <c r="AZ235" i="3"/>
  <c r="AC40" i="21"/>
  <c r="W8" i="21"/>
  <c r="F34" i="35"/>
  <c r="BA540" i="3"/>
  <c r="AZ540" i="3" s="1"/>
  <c r="AZ264" i="3"/>
  <c r="AC16" i="40"/>
  <c r="AZ522" i="3"/>
  <c r="AZ338" i="3"/>
  <c r="AZ150" i="3"/>
  <c r="S10" i="35"/>
  <c r="AZ561" i="3"/>
  <c r="F45" i="34"/>
  <c r="U9" i="21"/>
  <c r="W41" i="21"/>
  <c r="BI5" i="3"/>
  <c r="U27" i="35"/>
  <c r="AB27" i="35"/>
  <c r="BL483" i="3"/>
  <c r="AZ483" i="3" s="1"/>
  <c r="AZ392" i="3"/>
  <c r="AZ427" i="3"/>
  <c r="AZ514" i="3"/>
  <c r="AC14" i="37"/>
  <c r="U32" i="33"/>
  <c r="AZ299" i="3"/>
  <c r="H28" i="34"/>
  <c r="BL500" i="3"/>
  <c r="AZ500" i="3" s="1"/>
  <c r="AB31" i="33"/>
  <c r="BA570" i="3"/>
  <c r="AZ570" i="3" s="1"/>
  <c r="BG5" i="3"/>
  <c r="F9" i="34"/>
  <c r="J39" i="37"/>
  <c r="AC39" i="37" s="1"/>
  <c r="F39" i="37"/>
  <c r="G524" i="3"/>
  <c r="G489" i="3"/>
  <c r="BA487" i="3"/>
  <c r="AZ487" i="3" s="1"/>
  <c r="AZ347" i="3"/>
  <c r="AZ502" i="3"/>
  <c r="AB31" i="21"/>
  <c r="H14" i="21"/>
  <c r="J28" i="34"/>
  <c r="H9" i="34"/>
  <c r="H25" i="37"/>
  <c r="BT5" i="3"/>
  <c r="G28" i="6" s="1"/>
  <c r="BL503" i="3"/>
  <c r="AZ503" i="3" s="1"/>
  <c r="AZ159" i="3"/>
  <c r="G390" i="3"/>
  <c r="G391" i="3"/>
  <c r="AZ404" i="3"/>
  <c r="AZ445" i="3"/>
  <c r="BA309" i="3"/>
  <c r="AZ309" i="3" s="1"/>
  <c r="BA375" i="3"/>
  <c r="AZ375" i="3" s="1"/>
  <c r="BA28" i="3"/>
  <c r="G552" i="3"/>
  <c r="G504" i="3"/>
  <c r="G19" i="3"/>
  <c r="G5" i="3" s="1"/>
  <c r="B3" i="3" s="1"/>
  <c r="BL427" i="3"/>
  <c r="AZ448" i="3"/>
  <c r="AZ472" i="3"/>
  <c r="BA335" i="3"/>
  <c r="AZ335" i="3" s="1"/>
  <c r="BA214" i="3"/>
  <c r="AZ214" i="3" s="1"/>
  <c r="BA218" i="3"/>
  <c r="AZ218" i="3" s="1"/>
  <c r="BL220" i="3"/>
  <c r="AZ220" i="3" s="1"/>
  <c r="BL221" i="3"/>
  <c r="AZ221" i="3" s="1"/>
  <c r="AZ246" i="3"/>
  <c r="BA116" i="3"/>
  <c r="BL117" i="3"/>
  <c r="BL128" i="3"/>
  <c r="BA141" i="3"/>
  <c r="AZ141" i="3" s="1"/>
  <c r="BL159" i="3"/>
  <c r="BA163" i="3"/>
  <c r="AZ163" i="3" s="1"/>
  <c r="BA164" i="3"/>
  <c r="AZ164" i="3" s="1"/>
  <c r="G38" i="3"/>
  <c r="AZ93" i="3"/>
  <c r="G397" i="3"/>
  <c r="BA406" i="3"/>
  <c r="AZ406" i="3" s="1"/>
  <c r="BA407" i="3"/>
  <c r="AZ407" i="3" s="1"/>
  <c r="BL411" i="3"/>
  <c r="G417" i="3"/>
  <c r="BA425" i="3"/>
  <c r="AZ425" i="3" s="1"/>
  <c r="BA426" i="3"/>
  <c r="AZ426" i="3" s="1"/>
  <c r="BL428" i="3"/>
  <c r="AZ428" i="3" s="1"/>
  <c r="G436" i="3"/>
  <c r="BL457" i="3"/>
  <c r="AZ457" i="3" s="1"/>
  <c r="BL475" i="3"/>
  <c r="AZ475" i="3" s="1"/>
  <c r="BA333" i="3"/>
  <c r="AZ333" i="3" s="1"/>
  <c r="G347" i="3"/>
  <c r="G381" i="3"/>
  <c r="BL224" i="3"/>
  <c r="BA251" i="3"/>
  <c r="AZ251" i="3" s="1"/>
  <c r="BL253" i="3"/>
  <c r="AZ253" i="3" s="1"/>
  <c r="BL256" i="3"/>
  <c r="AZ256" i="3" s="1"/>
  <c r="BL263" i="3"/>
  <c r="BL264" i="3"/>
  <c r="BL265" i="3"/>
  <c r="BL278" i="3"/>
  <c r="BL279" i="3"/>
  <c r="AZ279" i="3" s="1"/>
  <c r="BL287" i="3"/>
  <c r="BL292" i="3"/>
  <c r="AZ292" i="3" s="1"/>
  <c r="BL294" i="3"/>
  <c r="BL296" i="3"/>
  <c r="BA129" i="3"/>
  <c r="BA140" i="3"/>
  <c r="BL155" i="3"/>
  <c r="BL156" i="3"/>
  <c r="BA160" i="3"/>
  <c r="AZ160" i="3" s="1"/>
  <c r="G176" i="3"/>
  <c r="BA203" i="3"/>
  <c r="AZ203" i="3" s="1"/>
  <c r="BL44" i="3"/>
  <c r="G496" i="3"/>
  <c r="BA409" i="3"/>
  <c r="AZ409" i="3" s="1"/>
  <c r="BA410" i="3"/>
  <c r="AZ410" i="3" s="1"/>
  <c r="BL413" i="3"/>
  <c r="AZ413" i="3" s="1"/>
  <c r="BL432" i="3"/>
  <c r="BA453" i="3"/>
  <c r="AZ453" i="3" s="1"/>
  <c r="BA454" i="3"/>
  <c r="AZ454" i="3" s="1"/>
  <c r="BA455" i="3"/>
  <c r="AZ455" i="3" s="1"/>
  <c r="BA456" i="3"/>
  <c r="AZ456" i="3" s="1"/>
  <c r="BL458" i="3"/>
  <c r="AZ458" i="3" s="1"/>
  <c r="BL478" i="3"/>
  <c r="AZ478" i="3" s="1"/>
  <c r="BL368" i="3"/>
  <c r="BL369" i="3"/>
  <c r="AZ369" i="3" s="1"/>
  <c r="BA222" i="3"/>
  <c r="AZ222" i="3" s="1"/>
  <c r="BA223" i="3"/>
  <c r="AZ223" i="3" s="1"/>
  <c r="BA254" i="3"/>
  <c r="AZ254" i="3" s="1"/>
  <c r="BA255" i="3"/>
  <c r="AZ255" i="3" s="1"/>
  <c r="BL257" i="3"/>
  <c r="AZ257" i="3" s="1"/>
  <c r="BL262" i="3"/>
  <c r="BL271" i="3"/>
  <c r="BL283" i="3"/>
  <c r="AZ283" i="3" s="1"/>
  <c r="BL284" i="3"/>
  <c r="AZ284" i="3" s="1"/>
  <c r="BA288" i="3"/>
  <c r="AZ288" i="3" s="1"/>
  <c r="BA289" i="3"/>
  <c r="AZ289" i="3" s="1"/>
  <c r="BA290" i="3"/>
  <c r="AZ290" i="3" s="1"/>
  <c r="BL125" i="3"/>
  <c r="BL137" i="3"/>
  <c r="BA139" i="3"/>
  <c r="AZ139" i="3" s="1"/>
  <c r="AZ202" i="3"/>
  <c r="AZ73" i="3"/>
  <c r="BL392" i="3"/>
  <c r="BA412" i="3"/>
  <c r="AZ412" i="3" s="1"/>
  <c r="BL414" i="3"/>
  <c r="AZ414" i="3" s="1"/>
  <c r="BA429" i="3"/>
  <c r="AZ429" i="3" s="1"/>
  <c r="BA430" i="3"/>
  <c r="AZ430" i="3" s="1"/>
  <c r="BA431" i="3"/>
  <c r="AZ431" i="3" s="1"/>
  <c r="BL433" i="3"/>
  <c r="AZ433" i="3" s="1"/>
  <c r="BL459" i="3"/>
  <c r="AZ459" i="3" s="1"/>
  <c r="BA476" i="3"/>
  <c r="AZ476" i="3" s="1"/>
  <c r="BA477" i="3"/>
  <c r="AZ477" i="3" s="1"/>
  <c r="BL479" i="3"/>
  <c r="AZ479" i="3" s="1"/>
  <c r="BA353" i="3"/>
  <c r="AZ353" i="3" s="1"/>
  <c r="BL364" i="3"/>
  <c r="AZ364" i="3" s="1"/>
  <c r="BA371" i="3"/>
  <c r="AZ371" i="3" s="1"/>
  <c r="BL382" i="3"/>
  <c r="AZ382" i="3" s="1"/>
  <c r="BL227" i="3"/>
  <c r="BL259" i="3"/>
  <c r="AZ259" i="3" s="1"/>
  <c r="BA263" i="3"/>
  <c r="AZ263" i="3" s="1"/>
  <c r="BA265" i="3"/>
  <c r="BA266" i="3"/>
  <c r="AZ266" i="3" s="1"/>
  <c r="BL268" i="3"/>
  <c r="AZ268" i="3" s="1"/>
  <c r="BA278" i="3"/>
  <c r="BA280" i="3"/>
  <c r="AZ280" i="3" s="1"/>
  <c r="BA281" i="3"/>
  <c r="AZ281" i="3" s="1"/>
  <c r="BA282" i="3"/>
  <c r="AZ282" i="3" s="1"/>
  <c r="BA287" i="3"/>
  <c r="BA294" i="3"/>
  <c r="BA113" i="3"/>
  <c r="BL114" i="3"/>
  <c r="AZ114" i="3" s="1"/>
  <c r="BA124" i="3"/>
  <c r="AZ124" i="3" s="1"/>
  <c r="BA127" i="3"/>
  <c r="AZ127" i="3" s="1"/>
  <c r="BL136" i="3"/>
  <c r="BL152" i="3"/>
  <c r="BA155" i="3"/>
  <c r="BA189" i="3"/>
  <c r="AZ189" i="3" s="1"/>
  <c r="BA201" i="3"/>
  <c r="AZ201" i="3" s="1"/>
  <c r="BA389" i="3"/>
  <c r="AZ389" i="3" s="1"/>
  <c r="BA390" i="3"/>
  <c r="AZ390" i="3" s="1"/>
  <c r="BA391" i="3"/>
  <c r="AZ391" i="3" s="1"/>
  <c r="BL395" i="3"/>
  <c r="BL415" i="3"/>
  <c r="AZ415" i="3" s="1"/>
  <c r="BL434" i="3"/>
  <c r="AZ434" i="3" s="1"/>
  <c r="G441" i="3"/>
  <c r="G442" i="3"/>
  <c r="G443" i="3"/>
  <c r="BL462" i="3"/>
  <c r="AZ462" i="3" s="1"/>
  <c r="G317" i="3"/>
  <c r="BA351" i="3"/>
  <c r="AZ351" i="3" s="1"/>
  <c r="BA368" i="3"/>
  <c r="BL385" i="3"/>
  <c r="AZ385" i="3" s="1"/>
  <c r="BL387" i="3"/>
  <c r="AZ387" i="3" s="1"/>
  <c r="BA226" i="3"/>
  <c r="AZ226" i="3" s="1"/>
  <c r="BL228" i="3"/>
  <c r="AZ228" i="3" s="1"/>
  <c r="G241" i="3"/>
  <c r="BA258" i="3"/>
  <c r="AZ258" i="3" s="1"/>
  <c r="BA260" i="3"/>
  <c r="AZ260" i="3" s="1"/>
  <c r="BA262" i="3"/>
  <c r="BA271" i="3"/>
  <c r="BA275" i="3"/>
  <c r="BA277" i="3"/>
  <c r="AZ277" i="3" s="1"/>
  <c r="BA123" i="3"/>
  <c r="AZ123" i="3" s="1"/>
  <c r="BL178" i="3"/>
  <c r="AZ178" i="3" s="1"/>
  <c r="BA43" i="3"/>
  <c r="AZ43" i="3" s="1"/>
  <c r="B24" i="59"/>
  <c r="B23" i="59" s="1"/>
  <c r="B22" i="59" s="1"/>
  <c r="B21" i="59" s="1"/>
  <c r="B20" i="59" s="1"/>
  <c r="B19" i="59" s="1"/>
  <c r="B18" i="59" s="1"/>
  <c r="B17" i="59" s="1"/>
  <c r="S25" i="59"/>
  <c r="BA393" i="3"/>
  <c r="AZ393" i="3" s="1"/>
  <c r="BA394" i="3"/>
  <c r="AZ394" i="3" s="1"/>
  <c r="BL397" i="3"/>
  <c r="AZ397" i="3" s="1"/>
  <c r="BL417" i="3"/>
  <c r="AZ417" i="3" s="1"/>
  <c r="BL437" i="3"/>
  <c r="BA460" i="3"/>
  <c r="AZ460" i="3" s="1"/>
  <c r="BA461" i="3"/>
  <c r="AZ461" i="3" s="1"/>
  <c r="BL463" i="3"/>
  <c r="AZ463" i="3" s="1"/>
  <c r="G469" i="3"/>
  <c r="G470" i="3"/>
  <c r="BA480" i="3"/>
  <c r="AZ480" i="3" s="1"/>
  <c r="BA349" i="3"/>
  <c r="AZ349" i="3" s="1"/>
  <c r="BL380" i="3"/>
  <c r="BA384" i="3"/>
  <c r="AZ384" i="3" s="1"/>
  <c r="BA386" i="3"/>
  <c r="AZ386" i="3" s="1"/>
  <c r="BL388" i="3"/>
  <c r="AZ388" i="3" s="1"/>
  <c r="BL229" i="3"/>
  <c r="AZ229" i="3" s="1"/>
  <c r="BL232" i="3"/>
  <c r="G243" i="3"/>
  <c r="BL149" i="3"/>
  <c r="BA152" i="3"/>
  <c r="AZ152" i="3" s="1"/>
  <c r="AZ38" i="3"/>
  <c r="AZ58" i="3"/>
  <c r="D84" i="59"/>
  <c r="C83" i="59"/>
  <c r="D83" i="59" s="1"/>
  <c r="BA396" i="3"/>
  <c r="AZ396" i="3" s="1"/>
  <c r="BL398" i="3"/>
  <c r="AZ398" i="3" s="1"/>
  <c r="G405" i="3"/>
  <c r="BA416" i="3"/>
  <c r="AZ416" i="3" s="1"/>
  <c r="BL418" i="3"/>
  <c r="AZ418" i="3" s="1"/>
  <c r="G422" i="3"/>
  <c r="BA435" i="3"/>
  <c r="AZ435" i="3" s="1"/>
  <c r="BA436" i="3"/>
  <c r="AZ436" i="3" s="1"/>
  <c r="BL438" i="3"/>
  <c r="AZ438" i="3" s="1"/>
  <c r="BL465" i="3"/>
  <c r="AZ465" i="3" s="1"/>
  <c r="BL360" i="3"/>
  <c r="AZ360" i="3" s="1"/>
  <c r="BL205" i="3"/>
  <c r="AZ205" i="3" s="1"/>
  <c r="BL234" i="3"/>
  <c r="BL235" i="3"/>
  <c r="BL236" i="3"/>
  <c r="AZ236" i="3" s="1"/>
  <c r="AZ176" i="3"/>
  <c r="AZ21" i="3"/>
  <c r="AZ37" i="3"/>
  <c r="G528" i="3"/>
  <c r="G511" i="3"/>
  <c r="G500" i="3"/>
  <c r="BL399" i="3"/>
  <c r="AZ399" i="3" s="1"/>
  <c r="BL439" i="3"/>
  <c r="AZ439" i="3" s="1"/>
  <c r="BA464" i="3"/>
  <c r="AZ464" i="3" s="1"/>
  <c r="BL466" i="3"/>
  <c r="AZ466" i="3" s="1"/>
  <c r="BL314" i="3"/>
  <c r="AZ314" i="3" s="1"/>
  <c r="BL318" i="3"/>
  <c r="BL208" i="3"/>
  <c r="BA232" i="3"/>
  <c r="BL237" i="3"/>
  <c r="AZ237" i="3" s="1"/>
  <c r="G247" i="3"/>
  <c r="BA295" i="3"/>
  <c r="AZ295" i="3" s="1"/>
  <c r="G115" i="3"/>
  <c r="BL146" i="3"/>
  <c r="AZ146" i="3" s="1"/>
  <c r="BA149" i="3"/>
  <c r="AZ175" i="3"/>
  <c r="BL402" i="3"/>
  <c r="G407" i="3"/>
  <c r="G408" i="3"/>
  <c r="BL420" i="3"/>
  <c r="AZ420" i="3" s="1"/>
  <c r="G426" i="3"/>
  <c r="G427" i="3"/>
  <c r="BL443" i="3"/>
  <c r="AZ443" i="3" s="1"/>
  <c r="BL467" i="3"/>
  <c r="AZ467" i="3" s="1"/>
  <c r="G305" i="3"/>
  <c r="BL310" i="3"/>
  <c r="AZ310" i="3" s="1"/>
  <c r="BA319" i="3"/>
  <c r="AZ319" i="3" s="1"/>
  <c r="G333" i="3"/>
  <c r="BL376" i="3"/>
  <c r="AZ376" i="3" s="1"/>
  <c r="BA206" i="3"/>
  <c r="AZ206" i="3" s="1"/>
  <c r="BA207" i="3"/>
  <c r="AZ207" i="3" s="1"/>
  <c r="BL209" i="3"/>
  <c r="AZ209" i="3" s="1"/>
  <c r="G221" i="3"/>
  <c r="BA234" i="3"/>
  <c r="AZ234" i="3" s="1"/>
  <c r="BL240" i="3"/>
  <c r="AZ240" i="3" s="1"/>
  <c r="BL241" i="3"/>
  <c r="AZ241" i="3" s="1"/>
  <c r="BA119" i="3"/>
  <c r="AZ119" i="3" s="1"/>
  <c r="BA174" i="3"/>
  <c r="AZ174" i="3" s="1"/>
  <c r="G520" i="3"/>
  <c r="BA400" i="3"/>
  <c r="AZ400" i="3" s="1"/>
  <c r="BA401" i="3"/>
  <c r="AZ401" i="3" s="1"/>
  <c r="BL403" i="3"/>
  <c r="AZ403" i="3" s="1"/>
  <c r="G410" i="3"/>
  <c r="G411" i="3"/>
  <c r="BA419" i="3"/>
  <c r="AZ419" i="3" s="1"/>
  <c r="BA440" i="3"/>
  <c r="AZ440" i="3" s="1"/>
  <c r="BA441" i="3"/>
  <c r="AZ441" i="3" s="1"/>
  <c r="BA442" i="3"/>
  <c r="AZ442" i="3" s="1"/>
  <c r="BL444" i="3"/>
  <c r="AZ444" i="3" s="1"/>
  <c r="G454" i="3"/>
  <c r="G455" i="3"/>
  <c r="G456" i="3"/>
  <c r="G457" i="3"/>
  <c r="BL470" i="3"/>
  <c r="BA317" i="3"/>
  <c r="AZ317" i="3" s="1"/>
  <c r="G331" i="3"/>
  <c r="BL211" i="3"/>
  <c r="BL212" i="3"/>
  <c r="AZ212" i="3" s="1"/>
  <c r="BL215" i="3"/>
  <c r="AZ215" i="3" s="1"/>
  <c r="BL216" i="3"/>
  <c r="AZ216" i="3" s="1"/>
  <c r="G223" i="3"/>
  <c r="G224" i="3"/>
  <c r="BA238" i="3"/>
  <c r="AZ238" i="3" s="1"/>
  <c r="BA239" i="3"/>
  <c r="AZ239" i="3" s="1"/>
  <c r="BL243" i="3"/>
  <c r="G254" i="3"/>
  <c r="G255" i="3"/>
  <c r="G256" i="3"/>
  <c r="G264" i="3"/>
  <c r="G292" i="3"/>
  <c r="BL120" i="3"/>
  <c r="BL130" i="3"/>
  <c r="AZ130" i="3" s="1"/>
  <c r="BL144" i="3"/>
  <c r="BL169" i="3"/>
  <c r="AZ169" i="3" s="1"/>
  <c r="BA172" i="3"/>
  <c r="AZ172" i="3" s="1"/>
  <c r="BA35" i="3"/>
  <c r="BL47" i="3"/>
  <c r="BA49" i="3"/>
  <c r="G540" i="3"/>
  <c r="G487" i="3"/>
  <c r="AZ468" i="3"/>
  <c r="G477" i="3"/>
  <c r="G478" i="3"/>
  <c r="BA313" i="3"/>
  <c r="AZ313" i="3" s="1"/>
  <c r="G329" i="3"/>
  <c r="AZ210" i="3"/>
  <c r="AZ242" i="3"/>
  <c r="G261" i="3"/>
  <c r="G263" i="3"/>
  <c r="BA132" i="3"/>
  <c r="BA144" i="3"/>
  <c r="BL165" i="3"/>
  <c r="BL167" i="3"/>
  <c r="AZ167" i="3" s="1"/>
  <c r="BA170" i="3"/>
  <c r="AZ170" i="3" s="1"/>
  <c r="BL27" i="3"/>
  <c r="BA31" i="3"/>
  <c r="AZ31" i="3" s="1"/>
  <c r="BL46" i="3"/>
  <c r="BL37" i="3"/>
  <c r="BA50" i="3"/>
  <c r="AZ50" i="3" s="1"/>
  <c r="BA51" i="3"/>
  <c r="AZ51" i="3" s="1"/>
  <c r="BL73" i="3"/>
  <c r="BL96" i="3"/>
  <c r="AZ96" i="3" s="1"/>
  <c r="X40" i="59"/>
  <c r="C52" i="59"/>
  <c r="BL261" i="3"/>
  <c r="AZ261" i="3" s="1"/>
  <c r="BA285" i="3"/>
  <c r="AZ285" i="3" s="1"/>
  <c r="BA286" i="3"/>
  <c r="AZ286" i="3" s="1"/>
  <c r="BL291" i="3"/>
  <c r="G113" i="3"/>
  <c r="BA168" i="3"/>
  <c r="AZ168" i="3" s="1"/>
  <c r="BA171" i="3"/>
  <c r="AZ171" i="3" s="1"/>
  <c r="BL180" i="3"/>
  <c r="AZ180" i="3" s="1"/>
  <c r="BL184" i="3"/>
  <c r="AZ184" i="3" s="1"/>
  <c r="BL188" i="3"/>
  <c r="AZ188" i="3" s="1"/>
  <c r="BL192" i="3"/>
  <c r="AZ192" i="3" s="1"/>
  <c r="BL196" i="3"/>
  <c r="AZ196" i="3" s="1"/>
  <c r="BL200" i="3"/>
  <c r="AZ200" i="3" s="1"/>
  <c r="G23" i="3"/>
  <c r="G24" i="3"/>
  <c r="G25" i="3"/>
  <c r="BA36" i="3"/>
  <c r="AZ36" i="3" s="1"/>
  <c r="BL38" i="3"/>
  <c r="BL54" i="3"/>
  <c r="BA72" i="3"/>
  <c r="AZ72" i="3" s="1"/>
  <c r="BL74" i="3"/>
  <c r="AZ74" i="3" s="1"/>
  <c r="BA95" i="3"/>
  <c r="AZ95" i="3" s="1"/>
  <c r="BL100" i="3"/>
  <c r="D1" i="57"/>
  <c r="E10" i="57" s="1"/>
  <c r="T41" i="59"/>
  <c r="AZ97" i="3"/>
  <c r="D51" i="59"/>
  <c r="Y35" i="59"/>
  <c r="Z35" i="59" s="1"/>
  <c r="AA40" i="59"/>
  <c r="F52" i="59"/>
  <c r="F53" i="59" s="1"/>
  <c r="V53" i="59" s="1"/>
  <c r="F60" i="59"/>
  <c r="F61" i="59" s="1"/>
  <c r="V61" i="59" s="1"/>
  <c r="Z10" i="46"/>
  <c r="G126" i="3"/>
  <c r="G129" i="3"/>
  <c r="BA182" i="3"/>
  <c r="AZ182" i="3" s="1"/>
  <c r="BA183" i="3"/>
  <c r="AZ183" i="3" s="1"/>
  <c r="BA186" i="3"/>
  <c r="AZ186" i="3" s="1"/>
  <c r="BA187" i="3"/>
  <c r="AZ187" i="3" s="1"/>
  <c r="BA190" i="3"/>
  <c r="AZ190" i="3" s="1"/>
  <c r="BA191" i="3"/>
  <c r="AZ191" i="3" s="1"/>
  <c r="BA194" i="3"/>
  <c r="AZ194" i="3" s="1"/>
  <c r="BA195" i="3"/>
  <c r="AZ195" i="3" s="1"/>
  <c r="BA198" i="3"/>
  <c r="AZ198" i="3" s="1"/>
  <c r="BA199" i="3"/>
  <c r="AZ199" i="3" s="1"/>
  <c r="BL203" i="3"/>
  <c r="BL40" i="3"/>
  <c r="AZ40" i="3" s="1"/>
  <c r="BL56" i="3"/>
  <c r="AZ56" i="3" s="1"/>
  <c r="BA75" i="3"/>
  <c r="AZ75" i="3" s="1"/>
  <c r="BL80" i="3"/>
  <c r="AZ80" i="3" s="1"/>
  <c r="G89" i="3"/>
  <c r="BA101" i="3"/>
  <c r="AZ101" i="3" s="1"/>
  <c r="BA102" i="3"/>
  <c r="AZ102" i="3" s="1"/>
  <c r="BL105" i="3"/>
  <c r="L100" i="46"/>
  <c r="I20" i="57"/>
  <c r="C27" i="40"/>
  <c r="AA21" i="37"/>
  <c r="P67" i="59"/>
  <c r="AB40" i="59"/>
  <c r="D85" i="59"/>
  <c r="BL248" i="3"/>
  <c r="AZ248" i="3" s="1"/>
  <c r="BL267" i="3"/>
  <c r="AZ267" i="3" s="1"/>
  <c r="BA293" i="3"/>
  <c r="AZ293" i="3" s="1"/>
  <c r="BL295" i="3"/>
  <c r="G131" i="3"/>
  <c r="G134" i="3"/>
  <c r="G137" i="3"/>
  <c r="G138" i="3"/>
  <c r="BL21" i="3"/>
  <c r="BL42" i="3"/>
  <c r="AZ42" i="3" s="1"/>
  <c r="BL58" i="3"/>
  <c r="BA77" i="3"/>
  <c r="AZ77" i="3" s="1"/>
  <c r="BA78" i="3"/>
  <c r="AZ78" i="3" s="1"/>
  <c r="BA79" i="3"/>
  <c r="AZ79" i="3" s="1"/>
  <c r="BL83" i="3"/>
  <c r="AZ83" i="3" s="1"/>
  <c r="BA104" i="3"/>
  <c r="AZ104" i="3" s="1"/>
  <c r="BL106" i="3"/>
  <c r="AZ106" i="3" s="1"/>
  <c r="C32" i="59"/>
  <c r="BL113" i="3"/>
  <c r="BL116" i="3"/>
  <c r="BL118" i="3"/>
  <c r="AZ118" i="3" s="1"/>
  <c r="BL122" i="3"/>
  <c r="AZ122" i="3" s="1"/>
  <c r="G142" i="3"/>
  <c r="G145" i="3"/>
  <c r="BA204" i="3"/>
  <c r="AZ204" i="3" s="1"/>
  <c r="BL25" i="3"/>
  <c r="AZ25" i="3" s="1"/>
  <c r="BA41" i="3"/>
  <c r="AZ41" i="3" s="1"/>
  <c r="BL43" i="3"/>
  <c r="G47" i="3"/>
  <c r="G48" i="3"/>
  <c r="BA57" i="3"/>
  <c r="AZ57" i="3" s="1"/>
  <c r="BL59" i="3"/>
  <c r="AZ59" i="3" s="1"/>
  <c r="BA81" i="3"/>
  <c r="AZ81" i="3" s="1"/>
  <c r="BA82" i="3"/>
  <c r="AZ82" i="3" s="1"/>
  <c r="BL84" i="3"/>
  <c r="AZ84" i="3" s="1"/>
  <c r="BL107" i="3"/>
  <c r="AZ107" i="3" s="1"/>
  <c r="S21" i="21"/>
  <c r="D39" i="59"/>
  <c r="F76" i="59"/>
  <c r="F75" i="59" s="1"/>
  <c r="L76" i="9"/>
  <c r="BA296" i="3"/>
  <c r="AZ296" i="3" s="1"/>
  <c r="BL124" i="3"/>
  <c r="BL126" i="3"/>
  <c r="AZ126" i="3" s="1"/>
  <c r="BA22" i="3"/>
  <c r="AZ22" i="3" s="1"/>
  <c r="BA23" i="3"/>
  <c r="AZ23" i="3" s="1"/>
  <c r="BA24" i="3"/>
  <c r="AZ24" i="3" s="1"/>
  <c r="BL28" i="3"/>
  <c r="BL61" i="3"/>
  <c r="AZ61" i="3" s="1"/>
  <c r="BL87" i="3"/>
  <c r="AZ87" i="3" s="1"/>
  <c r="BL109" i="3"/>
  <c r="AZ109" i="3" s="1"/>
  <c r="P27" i="6"/>
  <c r="BL350" i="3"/>
  <c r="BL366" i="3"/>
  <c r="AZ366" i="3" s="1"/>
  <c r="BL213" i="3"/>
  <c r="AZ213" i="3" s="1"/>
  <c r="BA230" i="3"/>
  <c r="AZ230" i="3" s="1"/>
  <c r="BA231" i="3"/>
  <c r="AZ231" i="3" s="1"/>
  <c r="BL233" i="3"/>
  <c r="AZ233" i="3" s="1"/>
  <c r="G239" i="3"/>
  <c r="G240" i="3"/>
  <c r="BA250" i="3"/>
  <c r="AZ250" i="3" s="1"/>
  <c r="BL252" i="3"/>
  <c r="AZ252" i="3" s="1"/>
  <c r="G259" i="3"/>
  <c r="BA269" i="3"/>
  <c r="AZ269" i="3" s="1"/>
  <c r="BA270" i="3"/>
  <c r="AZ270" i="3" s="1"/>
  <c r="BL275" i="3"/>
  <c r="BA115" i="3"/>
  <c r="AZ115" i="3" s="1"/>
  <c r="BA117" i="3"/>
  <c r="AZ117" i="3" s="1"/>
  <c r="BA120" i="3"/>
  <c r="BA121" i="3"/>
  <c r="AZ121" i="3" s="1"/>
  <c r="BL129" i="3"/>
  <c r="BL132" i="3"/>
  <c r="BL134" i="3"/>
  <c r="AZ134" i="3" s="1"/>
  <c r="BL138" i="3"/>
  <c r="AZ138" i="3" s="1"/>
  <c r="G158" i="3"/>
  <c r="G161" i="3"/>
  <c r="G164" i="3"/>
  <c r="G165" i="3"/>
  <c r="BA26" i="3"/>
  <c r="AZ26" i="3" s="1"/>
  <c r="BA27" i="3"/>
  <c r="BL30" i="3"/>
  <c r="AZ30" i="3" s="1"/>
  <c r="BL45" i="3"/>
  <c r="G51" i="3"/>
  <c r="G52" i="3"/>
  <c r="BA60" i="3"/>
  <c r="AZ60" i="3" s="1"/>
  <c r="BL64" i="3"/>
  <c r="AZ64" i="3" s="1"/>
  <c r="BA85" i="3"/>
  <c r="AZ85" i="3" s="1"/>
  <c r="BA86" i="3"/>
  <c r="AZ86" i="3" s="1"/>
  <c r="BL89" i="3"/>
  <c r="BA108" i="3"/>
  <c r="AZ108" i="3" s="1"/>
  <c r="BL110" i="3"/>
  <c r="AZ110" i="3" s="1"/>
  <c r="B13" i="1"/>
  <c r="E13" i="1" s="1"/>
  <c r="D23" i="15"/>
  <c r="S18" i="36"/>
  <c r="BA272" i="3"/>
  <c r="AZ272" i="3" s="1"/>
  <c r="BA273" i="3"/>
  <c r="AZ273" i="3" s="1"/>
  <c r="BA274" i="3"/>
  <c r="AZ274" i="3" s="1"/>
  <c r="BL276" i="3"/>
  <c r="AZ276" i="3" s="1"/>
  <c r="BA125" i="3"/>
  <c r="AZ125" i="3" s="1"/>
  <c r="BA128" i="3"/>
  <c r="BL140" i="3"/>
  <c r="BL142" i="3"/>
  <c r="AZ142" i="3" s="1"/>
  <c r="G169" i="3"/>
  <c r="G172" i="3"/>
  <c r="BA29" i="3"/>
  <c r="AZ29" i="3" s="1"/>
  <c r="BL31" i="3"/>
  <c r="G37" i="3"/>
  <c r="BA44" i="3"/>
  <c r="BA62" i="3"/>
  <c r="AZ62" i="3" s="1"/>
  <c r="BA63" i="3"/>
  <c r="AZ63" i="3" s="1"/>
  <c r="BL67" i="3"/>
  <c r="AZ67" i="3" s="1"/>
  <c r="G73" i="3"/>
  <c r="BA88" i="3"/>
  <c r="AZ88" i="3" s="1"/>
  <c r="BL90" i="3"/>
  <c r="AZ90" i="3" s="1"/>
  <c r="X39" i="59"/>
  <c r="AE12" i="46"/>
  <c r="G289" i="3"/>
  <c r="G290" i="3"/>
  <c r="G291" i="3"/>
  <c r="BA131" i="3"/>
  <c r="AZ131" i="3" s="1"/>
  <c r="BA133" i="3"/>
  <c r="AZ133" i="3" s="1"/>
  <c r="BA136" i="3"/>
  <c r="AZ136" i="3" s="1"/>
  <c r="BA137" i="3"/>
  <c r="AZ137" i="3" s="1"/>
  <c r="BL145" i="3"/>
  <c r="BL148" i="3"/>
  <c r="BL150" i="3"/>
  <c r="BL153" i="3"/>
  <c r="AZ153" i="3" s="1"/>
  <c r="G174" i="3"/>
  <c r="G177" i="3"/>
  <c r="G178" i="3"/>
  <c r="BL32" i="3"/>
  <c r="AZ32" i="3" s="1"/>
  <c r="BL49" i="3"/>
  <c r="G54" i="3"/>
  <c r="BA65" i="3"/>
  <c r="AZ65" i="3" s="1"/>
  <c r="BA66" i="3"/>
  <c r="AZ66" i="3" s="1"/>
  <c r="BL69" i="3"/>
  <c r="BL91" i="3"/>
  <c r="AZ91" i="3" s="1"/>
  <c r="G98" i="3"/>
  <c r="G99" i="3"/>
  <c r="G100" i="3"/>
  <c r="BA111" i="3"/>
  <c r="AZ111" i="3" s="1"/>
  <c r="BA112" i="3"/>
  <c r="AZ112" i="3" s="1"/>
  <c r="Y39" i="59"/>
  <c r="Z39" i="59" s="1"/>
  <c r="B44" i="59"/>
  <c r="B45" i="59" s="1"/>
  <c r="S45" i="59" s="1"/>
  <c r="P75" i="15"/>
  <c r="BA46" i="3"/>
  <c r="AZ46" i="3" s="1"/>
  <c r="BA47" i="3"/>
  <c r="AZ47" i="3" s="1"/>
  <c r="BA48" i="3"/>
  <c r="AZ48" i="3" s="1"/>
  <c r="AZ68" i="3"/>
  <c r="BL93" i="3"/>
  <c r="Y34" i="59"/>
  <c r="Z34" i="59" s="1"/>
  <c r="AA39" i="59"/>
  <c r="BA33" i="3"/>
  <c r="AZ33" i="3" s="1"/>
  <c r="BL35" i="3"/>
  <c r="BL52" i="3"/>
  <c r="BL71" i="3"/>
  <c r="AZ71" i="3" s="1"/>
  <c r="G78" i="3"/>
  <c r="G79" i="3"/>
  <c r="G80" i="3"/>
  <c r="BA92" i="3"/>
  <c r="AZ92" i="3" s="1"/>
  <c r="BL94" i="3"/>
  <c r="AZ94" i="3" s="1"/>
  <c r="G105" i="3"/>
  <c r="E37" i="59"/>
  <c r="U37" i="59" s="1"/>
  <c r="AB39" i="59"/>
  <c r="E45" i="59"/>
  <c r="U45" i="59" s="1"/>
  <c r="B53" i="59"/>
  <c r="S53" i="59" s="1"/>
  <c r="L16" i="4"/>
  <c r="G11" i="1"/>
  <c r="E32" i="6"/>
  <c r="L20" i="6" s="1"/>
  <c r="E5" i="6"/>
  <c r="D12" i="11" s="1"/>
  <c r="C12" i="11" s="1"/>
  <c r="P13" i="1"/>
  <c r="E8" i="6"/>
  <c r="F27" i="6" s="1"/>
  <c r="H58" i="46"/>
  <c r="K33" i="9"/>
  <c r="K34" i="9" s="1"/>
  <c r="I14" i="66"/>
  <c r="B8" i="66" s="1"/>
  <c r="K31" i="9"/>
  <c r="K32" i="9" s="1"/>
  <c r="R7" i="54"/>
  <c r="B52" i="63" s="1"/>
  <c r="AZ492" i="3"/>
  <c r="AZ493" i="3"/>
  <c r="AC31" i="34"/>
  <c r="W31" i="34"/>
  <c r="S31" i="33"/>
  <c r="AA31" i="33"/>
  <c r="U45" i="33"/>
  <c r="AB45" i="33"/>
  <c r="F30" i="6"/>
  <c r="AZ520" i="3"/>
  <c r="AZ544" i="3"/>
  <c r="AZ562" i="3"/>
  <c r="S46" i="33"/>
  <c r="AC35" i="35"/>
  <c r="W35" i="35"/>
  <c r="AC46" i="33"/>
  <c r="W46" i="33"/>
  <c r="U40" i="37"/>
  <c r="AB40" i="37"/>
  <c r="AA28" i="34"/>
  <c r="S28" i="34"/>
  <c r="AC24" i="36"/>
  <c r="W24" i="36"/>
  <c r="AZ395" i="3"/>
  <c r="AZ402" i="3"/>
  <c r="AZ405" i="3"/>
  <c r="A30" i="64"/>
  <c r="A30" i="51"/>
  <c r="B22" i="63" s="1"/>
  <c r="AZ437" i="3"/>
  <c r="AZ451" i="3"/>
  <c r="AZ470" i="3"/>
  <c r="AZ473" i="3"/>
  <c r="AZ318" i="3"/>
  <c r="H5" i="3"/>
  <c r="BH5" i="3"/>
  <c r="BF5" i="3"/>
  <c r="E14" i="6" s="1"/>
  <c r="F9" i="33"/>
  <c r="H9" i="33"/>
  <c r="F9" i="36"/>
  <c r="H9" i="36"/>
  <c r="H24" i="36"/>
  <c r="AZ424" i="3"/>
  <c r="AZ447" i="3"/>
  <c r="AZ334" i="3"/>
  <c r="AZ350" i="3"/>
  <c r="AZ208" i="3"/>
  <c r="AZ211" i="3"/>
  <c r="AZ224" i="3"/>
  <c r="AZ227" i="3"/>
  <c r="AZ243" i="3"/>
  <c r="AZ275" i="3"/>
  <c r="AZ291" i="3"/>
  <c r="AZ294" i="3"/>
  <c r="AZ113" i="3"/>
  <c r="AZ116" i="3"/>
  <c r="AZ129" i="3"/>
  <c r="AZ132" i="3"/>
  <c r="AZ145" i="3"/>
  <c r="AZ148" i="3"/>
  <c r="AZ69" i="3"/>
  <c r="AZ89" i="3"/>
  <c r="AZ100" i="3"/>
  <c r="AZ105" i="3"/>
  <c r="AZ45" i="3"/>
  <c r="AZ49" i="3"/>
  <c r="AZ52" i="3"/>
  <c r="AZ54" i="3"/>
  <c r="G8" i="1"/>
  <c r="B65" i="46"/>
  <c r="C31" i="39"/>
  <c r="B74" i="46"/>
  <c r="AA21" i="34"/>
  <c r="S21" i="34"/>
  <c r="AA18" i="35"/>
  <c r="S18" i="35"/>
  <c r="D61" i="59"/>
  <c r="T61" i="59"/>
  <c r="A28" i="64"/>
  <c r="AI10" i="46"/>
  <c r="AI12" i="46"/>
  <c r="AA10" i="46"/>
  <c r="AA12" i="46"/>
  <c r="E26" i="57"/>
  <c r="D55" i="59"/>
  <c r="C56" i="59"/>
  <c r="D63" i="59"/>
  <c r="C64" i="59"/>
  <c r="V69" i="59"/>
  <c r="Q69" i="59"/>
  <c r="T77" i="59"/>
  <c r="C76" i="59"/>
  <c r="D77" i="59"/>
  <c r="D89" i="59"/>
  <c r="C88" i="59"/>
  <c r="B29" i="59"/>
  <c r="X3" i="59"/>
  <c r="B21" i="63"/>
  <c r="AA31" i="59"/>
  <c r="AB34" i="59"/>
  <c r="F35" i="59"/>
  <c r="F36" i="59" s="1"/>
  <c r="F37" i="59" s="1"/>
  <c r="V37" i="59" s="1"/>
  <c r="AB3" i="59"/>
  <c r="X8" i="59"/>
  <c r="X9" i="59"/>
  <c r="X6" i="59"/>
  <c r="X5" i="59"/>
  <c r="X7" i="59"/>
  <c r="AA6" i="59"/>
  <c r="AA7" i="59"/>
  <c r="AA9" i="59"/>
  <c r="AA8" i="59"/>
  <c r="AA5" i="59"/>
  <c r="C44" i="59"/>
  <c r="D43" i="59"/>
  <c r="U25" i="59"/>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8" i="59"/>
  <c r="AB5" i="59"/>
  <c r="AB9" i="59"/>
  <c r="AB7" i="59"/>
  <c r="K76" i="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AP7" i="1"/>
  <c r="G9" i="1"/>
  <c r="G10" i="1"/>
  <c r="K17" i="4"/>
  <c r="A22" i="51" s="1"/>
  <c r="B16" i="63" s="1"/>
  <c r="Q16" i="1"/>
  <c r="D69" i="39"/>
  <c r="C71" i="39"/>
  <c r="C66" i="40"/>
  <c r="D64" i="40"/>
  <c r="G17" i="46"/>
  <c r="C16" i="46" s="1"/>
  <c r="D5" i="46" s="1"/>
  <c r="Y11" i="46"/>
  <c r="Y13" i="46" s="1"/>
  <c r="G22" i="46"/>
  <c r="D22" i="46" s="1"/>
  <c r="F101" i="46"/>
  <c r="F104" i="46" s="1"/>
  <c r="M101" i="46"/>
  <c r="M107" i="46" s="1"/>
  <c r="AC11" i="46"/>
  <c r="AC13" i="46" s="1"/>
  <c r="AJ11" i="46"/>
  <c r="AJ13" i="46" s="1"/>
  <c r="C101" i="46"/>
  <c r="C105" i="46" s="1"/>
  <c r="J101" i="46"/>
  <c r="J109" i="46" s="1"/>
  <c r="N104" i="45"/>
  <c r="F22" i="46"/>
  <c r="Z7" i="46"/>
  <c r="E22" i="46"/>
  <c r="AA11" i="46"/>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BL13" i="3"/>
  <c r="L19" i="6"/>
  <c r="L27" i="6" s="1"/>
  <c r="H12" i="48"/>
  <c r="G6" i="1"/>
  <c r="I20" i="46"/>
  <c r="L48" i="35"/>
  <c r="M48" i="35" s="1"/>
  <c r="N48" i="35" s="1"/>
  <c r="O48" i="35" s="1"/>
  <c r="J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J105" i="46"/>
  <c r="J104" i="46"/>
  <c r="O8" i="1"/>
  <c r="P8" i="1" s="1"/>
  <c r="O6" i="1"/>
  <c r="BL5" i="3"/>
  <c r="AZ13" i="3"/>
  <c r="C5" i="46"/>
  <c r="AP16" i="1"/>
  <c r="F22" i="11" s="1"/>
  <c r="K77" i="9"/>
  <c r="K79" i="9" s="1"/>
  <c r="K81" i="9" s="1"/>
  <c r="E12" i="52"/>
  <c r="F33" i="44"/>
  <c r="E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Q73" i="44"/>
  <c r="C29" i="44"/>
  <c r="C8" i="44"/>
  <c r="C27" i="15"/>
  <c r="M9" i="44"/>
  <c r="L59" i="15"/>
  <c r="L60" i="44"/>
  <c r="L59" i="44"/>
  <c r="I54" i="15"/>
  <c r="F49" i="15"/>
  <c r="M7" i="15"/>
  <c r="I55" i="44"/>
  <c r="J54" i="44"/>
  <c r="L57" i="44"/>
  <c r="J58" i="44"/>
  <c r="J56" i="44" s="1"/>
  <c r="J59" i="44" s="1"/>
  <c r="Q52" i="44" s="1"/>
  <c r="J60" i="44"/>
  <c r="J61" i="44"/>
  <c r="Q50" i="44" s="1"/>
  <c r="C4" i="65"/>
  <c r="B39" i="1" s="1"/>
  <c r="I7" i="65"/>
  <c r="F42" i="15"/>
  <c r="I6" i="65"/>
  <c r="F8" i="15"/>
  <c r="I4" i="65"/>
  <c r="F45" i="44"/>
  <c r="M6" i="15"/>
  <c r="M27" i="15"/>
  <c r="F40" i="15"/>
  <c r="I3" i="65"/>
  <c r="M10" i="44"/>
  <c r="J4" i="65"/>
  <c r="F21" i="43"/>
  <c r="M24" i="15"/>
  <c r="F6" i="15"/>
  <c r="F38" i="15"/>
  <c r="M26" i="15"/>
  <c r="F43" i="15"/>
  <c r="D21" i="12"/>
  <c r="M8" i="44"/>
  <c r="J5" i="65"/>
  <c r="C16" i="15"/>
  <c r="J7" i="65"/>
  <c r="C18" i="44"/>
  <c r="J6" i="65"/>
  <c r="F9" i="15"/>
  <c r="F37" i="15"/>
  <c r="M22" i="15"/>
  <c r="J15" i="15"/>
  <c r="F36" i="15"/>
  <c r="I5" i="65"/>
  <c r="J36" i="15"/>
  <c r="C15" i="43"/>
  <c r="L48" i="15"/>
  <c r="L56" i="15" l="1"/>
  <c r="J57" i="15"/>
  <c r="J55" i="15" s="1"/>
  <c r="J58" i="15" s="1"/>
  <c r="Q51" i="15" s="1"/>
  <c r="L58" i="15"/>
  <c r="J53" i="15"/>
  <c r="Q72" i="15"/>
  <c r="F64" i="15"/>
  <c r="J1" i="65"/>
  <c r="F65" i="15"/>
  <c r="E561" i="3"/>
  <c r="AM6" i="3"/>
  <c r="E158" i="3"/>
  <c r="E253" i="3"/>
  <c r="E213" i="3"/>
  <c r="E397" i="3"/>
  <c r="E47" i="3"/>
  <c r="E184" i="3"/>
  <c r="E54" i="3"/>
  <c r="E473" i="3"/>
  <c r="E232" i="3"/>
  <c r="E28" i="6"/>
  <c r="G30" i="6"/>
  <c r="G31" i="6" s="1"/>
  <c r="D52" i="59"/>
  <c r="C53" i="59"/>
  <c r="W28" i="34"/>
  <c r="AC28" i="34"/>
  <c r="AA9" i="35"/>
  <c r="S9" i="35"/>
  <c r="U13" i="35"/>
  <c r="AB13" i="35"/>
  <c r="M104" i="46"/>
  <c r="M109" i="46"/>
  <c r="AZ44" i="3"/>
  <c r="U14" i="21"/>
  <c r="AB14" i="21"/>
  <c r="W9" i="35"/>
  <c r="AC9" i="35"/>
  <c r="M106" i="46"/>
  <c r="F105" i="46"/>
  <c r="AA13" i="46"/>
  <c r="AZ287" i="3"/>
  <c r="M102" i="46"/>
  <c r="E11" i="6"/>
  <c r="AZ144" i="3"/>
  <c r="AZ232" i="3"/>
  <c r="AZ368" i="3"/>
  <c r="E15" i="6"/>
  <c r="S21" i="59"/>
  <c r="AZ120" i="3"/>
  <c r="AB28" i="34"/>
  <c r="U28" i="34"/>
  <c r="W34" i="36"/>
  <c r="AC34" i="36"/>
  <c r="BA5" i="3"/>
  <c r="E27" i="6" s="1"/>
  <c r="M103" i="46"/>
  <c r="M105" i="46"/>
  <c r="E10" i="6"/>
  <c r="H7" i="35"/>
  <c r="E12" i="6"/>
  <c r="W39" i="37"/>
  <c r="AZ27" i="3"/>
  <c r="AZ5" i="3" s="1"/>
  <c r="AZ140" i="3"/>
  <c r="U34" i="36"/>
  <c r="AB34" i="36"/>
  <c r="AC13" i="35"/>
  <c r="W13" i="35"/>
  <c r="J8" i="44"/>
  <c r="D32" i="59"/>
  <c r="C33" i="59"/>
  <c r="AZ271" i="3"/>
  <c r="AZ155" i="3"/>
  <c r="AZ278" i="3"/>
  <c r="W14" i="21"/>
  <c r="AC14" i="21"/>
  <c r="U44" i="21"/>
  <c r="AB44" i="21"/>
  <c r="S13" i="35"/>
  <c r="AA13" i="35"/>
  <c r="E13" i="6"/>
  <c r="AZ262" i="3"/>
  <c r="AA45" i="34"/>
  <c r="S45" i="34"/>
  <c r="AA34" i="35"/>
  <c r="S34" i="35"/>
  <c r="W13" i="36"/>
  <c r="AC13" i="36"/>
  <c r="AB25" i="36"/>
  <c r="U25" i="36"/>
  <c r="AC44" i="21"/>
  <c r="W44" i="21"/>
  <c r="S12" i="34"/>
  <c r="AA12" i="34"/>
  <c r="AZ35" i="3"/>
  <c r="AZ28" i="3"/>
  <c r="AB13" i="36"/>
  <c r="U13" i="36"/>
  <c r="AA25" i="36"/>
  <c r="S25" i="36"/>
  <c r="AA44" i="21"/>
  <c r="S44" i="21"/>
  <c r="AB12" i="34"/>
  <c r="U12" i="34"/>
  <c r="AZ128" i="3"/>
  <c r="AZ149" i="3"/>
  <c r="AZ265" i="3"/>
  <c r="AA39" i="37"/>
  <c r="S39" i="37"/>
  <c r="S13" i="36"/>
  <c r="AA13" i="36"/>
  <c r="W25" i="36"/>
  <c r="AC25" i="36"/>
  <c r="U25" i="37"/>
  <c r="AB25" i="37"/>
  <c r="S32" i="36"/>
  <c r="AA32" i="36"/>
  <c r="AB9" i="34"/>
  <c r="U9" i="34"/>
  <c r="AA9" i="34"/>
  <c r="S9" i="34"/>
  <c r="AB9" i="35"/>
  <c r="U9" i="35"/>
  <c r="C21" i="12"/>
  <c r="N6" i="3"/>
  <c r="E482" i="3"/>
  <c r="E545" i="3"/>
  <c r="E462" i="3"/>
  <c r="E536" i="3"/>
  <c r="E452" i="3"/>
  <c r="E537" i="3"/>
  <c r="E472" i="3"/>
  <c r="E337" i="3"/>
  <c r="E265" i="3"/>
  <c r="E398" i="3"/>
  <c r="E422" i="3"/>
  <c r="E98" i="3"/>
  <c r="E129" i="3"/>
  <c r="E174" i="3"/>
  <c r="E63" i="3"/>
  <c r="E110" i="3"/>
  <c r="E442" i="3"/>
  <c r="E218" i="3"/>
  <c r="E490" i="3"/>
  <c r="E435" i="3"/>
  <c r="E423" i="3"/>
  <c r="E199" i="3"/>
  <c r="E225" i="3"/>
  <c r="E187" i="3"/>
  <c r="E296" i="3"/>
  <c r="E390" i="3"/>
  <c r="E78" i="3"/>
  <c r="E194" i="3"/>
  <c r="E535" i="3"/>
  <c r="E293"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283" i="3"/>
  <c r="E443" i="3"/>
  <c r="E23" i="3"/>
  <c r="E53" i="40"/>
  <c r="F31" i="6"/>
  <c r="C102" i="46"/>
  <c r="S3" i="46" s="1"/>
  <c r="F31" i="15"/>
  <c r="C6" i="15"/>
  <c r="F70" i="15"/>
  <c r="F63" i="15"/>
  <c r="I1" i="65"/>
  <c r="E20" i="46"/>
  <c r="P28" i="46" s="1"/>
  <c r="F67" i="15"/>
  <c r="F50" i="15"/>
  <c r="C48" i="15" s="1"/>
  <c r="M17" i="15"/>
  <c r="D44" i="59"/>
  <c r="C45" i="59"/>
  <c r="D88" i="59"/>
  <c r="C87" i="59"/>
  <c r="D87" i="59" s="1"/>
  <c r="U24" i="36"/>
  <c r="AB24" i="36"/>
  <c r="AA9" i="36"/>
  <c r="S9" i="36"/>
  <c r="AA9" i="33"/>
  <c r="S9" i="33"/>
  <c r="S29" i="59"/>
  <c r="B28" i="59"/>
  <c r="B27" i="59" s="1"/>
  <c r="D76" i="59"/>
  <c r="C75" i="59"/>
  <c r="D75" i="59" s="1"/>
  <c r="D64" i="59"/>
  <c r="C65" i="59"/>
  <c r="D56" i="59"/>
  <c r="C57" i="59"/>
  <c r="AB9" i="36"/>
  <c r="U9" i="36"/>
  <c r="U9" i="33"/>
  <c r="AB9" i="3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311" i="3"/>
  <c r="E263" i="3"/>
  <c r="E424" i="3"/>
  <c r="E82" i="3"/>
  <c r="E164" i="3"/>
  <c r="E99" i="3"/>
  <c r="E262" i="3"/>
  <c r="E101"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22" i="3"/>
  <c r="E388" i="3"/>
  <c r="E430" i="3"/>
  <c r="E146" i="3"/>
  <c r="E77" i="3"/>
  <c r="E434" i="3"/>
  <c r="E552" i="3"/>
  <c r="E57"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G16" i="1"/>
  <c r="H12" i="39" s="1"/>
  <c r="AB12" i="39" s="1"/>
  <c r="I109" i="46"/>
  <c r="I106" i="46"/>
  <c r="C23" i="46"/>
  <c r="C21" i="46" s="1"/>
  <c r="S2" i="46"/>
  <c r="S7" i="46"/>
  <c r="S4" i="46"/>
  <c r="S6" i="46"/>
  <c r="S5" i="46"/>
  <c r="C107" i="46"/>
  <c r="F7" i="37"/>
  <c r="S7" i="37" s="1"/>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59" i="40"/>
  <c r="E64" i="39"/>
  <c r="P6" i="1"/>
  <c r="E60" i="40"/>
  <c r="E65" i="39"/>
  <c r="M19" i="44"/>
  <c r="C19" i="46"/>
  <c r="Q62" i="15"/>
  <c r="Q75" i="15"/>
  <c r="M13" i="44"/>
  <c r="J12" i="44" s="1"/>
  <c r="J7" i="44" s="1"/>
  <c r="F11" i="15"/>
  <c r="M11" i="15"/>
  <c r="J10" i="15" s="1"/>
  <c r="F13" i="44"/>
  <c r="C12" i="44" s="1"/>
  <c r="C7" i="44" s="1"/>
  <c r="Q75" i="44"/>
  <c r="Q62" i="44"/>
  <c r="F1" i="44"/>
  <c r="Q54" i="44"/>
  <c r="J20" i="44"/>
  <c r="Q63" i="44"/>
  <c r="Q76" i="44"/>
  <c r="C34" i="44"/>
  <c r="F1" i="15"/>
  <c r="Q53" i="15"/>
  <c r="Q61" i="15"/>
  <c r="Q74" i="15"/>
  <c r="J6" i="15"/>
  <c r="F33" i="12"/>
  <c r="E2" i="65"/>
  <c r="E3" i="65"/>
  <c r="F22" i="43"/>
  <c r="AE7" i="1"/>
  <c r="F17" i="11" l="1"/>
  <c r="E3" i="6"/>
  <c r="AY6" i="3"/>
  <c r="D53" i="59"/>
  <c r="T53" i="59"/>
  <c r="AA7" i="37"/>
  <c r="R42" i="37" s="1"/>
  <c r="D33" i="59"/>
  <c r="T33" i="59"/>
  <c r="K14" i="1"/>
  <c r="E30" i="6"/>
  <c r="E31" i="6" s="1"/>
  <c r="C34" i="12"/>
  <c r="D33" i="12" s="1"/>
  <c r="C32" i="15"/>
  <c r="H6" i="3"/>
  <c r="E6" i="3" s="1"/>
  <c r="K26" i="6"/>
  <c r="M26" i="6" s="1"/>
  <c r="I26" i="6" s="1"/>
  <c r="S26" i="6" s="1"/>
  <c r="K22" i="6"/>
  <c r="M22" i="6" s="1"/>
  <c r="I22" i="6" s="1"/>
  <c r="S22" i="6" s="1"/>
  <c r="K25" i="6"/>
  <c r="M25" i="6" s="1"/>
  <c r="I25" i="6" s="1"/>
  <c r="S25" i="6" s="1"/>
  <c r="K19" i="6"/>
  <c r="K20" i="6"/>
  <c r="K24" i="6"/>
  <c r="M24" i="6" s="1"/>
  <c r="I24" i="6" s="1"/>
  <c r="S24" i="6" s="1"/>
  <c r="K21" i="6"/>
  <c r="M21" i="6" s="1"/>
  <c r="I21" i="6" s="1"/>
  <c r="S21" i="6" s="1"/>
  <c r="K23" i="6"/>
  <c r="M23" i="6" s="1"/>
  <c r="I23" i="6" s="1"/>
  <c r="S23" i="6" s="1"/>
  <c r="O28" i="46"/>
  <c r="G20" i="46" s="1"/>
  <c r="E41" i="46" s="1"/>
  <c r="C41" i="46" s="1"/>
  <c r="M28" i="46"/>
  <c r="N28" i="46"/>
  <c r="B40" i="1"/>
  <c r="F20" i="43" s="1"/>
  <c r="D57" i="59"/>
  <c r="T57" i="59"/>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6" i="37" s="1"/>
  <c r="H46" i="37" s="1"/>
  <c r="D20" i="43"/>
  <c r="E71" i="39"/>
  <c r="F69" i="39"/>
  <c r="F64" i="40"/>
  <c r="E66" i="40"/>
  <c r="C115" i="46"/>
  <c r="D113" i="46" s="1"/>
  <c r="G42" i="35"/>
  <c r="H42" i="35" s="1"/>
  <c r="G43" i="35"/>
  <c r="H43" i="35" s="1"/>
  <c r="I40" i="36"/>
  <c r="J40" i="36" s="1"/>
  <c r="I46" i="37"/>
  <c r="J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C52" i="15"/>
  <c r="C47" i="15" s="1"/>
  <c r="C10" i="15"/>
  <c r="C5" i="15" s="1"/>
  <c r="C15" i="12"/>
  <c r="F41" i="15"/>
  <c r="C38" i="46" l="1"/>
  <c r="C39" i="46"/>
  <c r="E39" i="46" s="1"/>
  <c r="M14" i="1"/>
  <c r="K16" i="1"/>
  <c r="C11" i="11" s="1"/>
  <c r="C10" i="11" s="1"/>
  <c r="C18" i="11" s="1"/>
  <c r="C20" i="46"/>
  <c r="F68" i="15"/>
  <c r="M20" i="6"/>
  <c r="I20" i="6" s="1"/>
  <c r="S20" i="6" s="1"/>
  <c r="S7" i="1"/>
  <c r="W12" i="39"/>
  <c r="AA12" i="39"/>
  <c r="W12" i="40"/>
  <c r="AB12" i="40"/>
  <c r="S6" i="1"/>
  <c r="M19" i="6"/>
  <c r="K27" i="6"/>
  <c r="T6" i="46"/>
  <c r="V6" i="46" s="1"/>
  <c r="T2" i="46"/>
  <c r="V2" i="46" s="1"/>
  <c r="C37" i="46"/>
  <c r="G37" i="46" s="1"/>
  <c r="I37" i="46" s="1"/>
  <c r="T5" i="46"/>
  <c r="V5" i="46" s="1"/>
  <c r="C35" i="46"/>
  <c r="G35" i="46" s="1"/>
  <c r="I35" i="46" s="1"/>
  <c r="T16" i="46"/>
  <c r="V16" i="46" s="1"/>
  <c r="C36" i="46"/>
  <c r="G36" i="46" s="1"/>
  <c r="I36" i="46" s="1"/>
  <c r="F26" i="12"/>
  <c r="C27" i="12" s="1"/>
  <c r="D26" i="12" s="1"/>
  <c r="C32" i="12" s="1"/>
  <c r="D30" i="12" s="1"/>
  <c r="F26" i="44"/>
  <c r="C26" i="44" s="1"/>
  <c r="F24" i="15"/>
  <c r="C24" i="15" s="1"/>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D13" i="11"/>
  <c r="C13" i="11" s="1"/>
  <c r="C65" i="15"/>
  <c r="C59" i="15"/>
  <c r="J26" i="15"/>
  <c r="J29" i="15" s="1"/>
  <c r="J24" i="15"/>
  <c r="C38" i="15"/>
  <c r="Q58" i="44"/>
  <c r="Q67" i="44"/>
  <c r="Q49" i="44"/>
  <c r="Q55" i="44" s="1"/>
  <c r="D22" i="12"/>
  <c r="C17" i="15"/>
  <c r="F7" i="67"/>
  <c r="D16" i="43"/>
  <c r="D16" i="12"/>
  <c r="C19" i="44"/>
  <c r="D19" i="12" l="1"/>
  <c r="C19" i="12" s="1"/>
  <c r="C16" i="12"/>
  <c r="C17" i="11"/>
  <c r="C19" i="11" s="1"/>
  <c r="C20" i="11" s="1"/>
  <c r="C21" i="11" s="1"/>
  <c r="C22" i="11" s="1"/>
  <c r="C23" i="11" s="1"/>
  <c r="B2" i="11" s="1"/>
  <c r="C34" i="46"/>
  <c r="T9" i="46"/>
  <c r="V9" i="46" s="1"/>
  <c r="T4" i="46"/>
  <c r="V4" i="46" s="1"/>
  <c r="T11" i="46"/>
  <c r="V11" i="46" s="1"/>
  <c r="T12" i="46"/>
  <c r="V12" i="46" s="1"/>
  <c r="T13" i="46"/>
  <c r="V13" i="46" s="1"/>
  <c r="T3" i="46"/>
  <c r="V3" i="46" s="1"/>
  <c r="T15" i="46"/>
  <c r="V15" i="46" s="1"/>
  <c r="T8" i="46"/>
  <c r="V8" i="46" s="1"/>
  <c r="E35" i="46"/>
  <c r="O14" i="1"/>
  <c r="O16" i="1" s="1"/>
  <c r="M16" i="1"/>
  <c r="P14" i="1"/>
  <c r="P16" i="1" s="1"/>
  <c r="C22" i="12"/>
  <c r="C20" i="12" s="1"/>
  <c r="C16" i="43"/>
  <c r="E36" i="46"/>
  <c r="I19" i="6"/>
  <c r="M27" i="6"/>
  <c r="S16" i="1"/>
  <c r="T6" i="1" s="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R7" i="1" s="1"/>
  <c r="D7" i="66"/>
  <c r="D6" i="66"/>
  <c r="D8" i="66"/>
  <c r="R26" i="6"/>
  <c r="A6" i="64"/>
  <c r="A20" i="64"/>
  <c r="A6" i="51"/>
  <c r="B7" i="63" s="1"/>
  <c r="A20" i="51"/>
  <c r="B15" i="63" s="1"/>
  <c r="N5" i="54"/>
  <c r="B43" i="63" s="1"/>
  <c r="R22" i="6"/>
  <c r="R21" i="6"/>
  <c r="E4" i="67"/>
  <c r="D77" i="9"/>
  <c r="N75" i="9" s="1"/>
  <c r="B7" i="67"/>
  <c r="E7" i="67"/>
  <c r="E34" i="46" l="1"/>
  <c r="G34" i="46"/>
  <c r="I34" i="46" s="1"/>
  <c r="L16" i="1"/>
  <c r="N16" i="1"/>
  <c r="B5" i="11"/>
  <c r="B3" i="11"/>
  <c r="B4" i="11"/>
  <c r="T8" i="1"/>
  <c r="T9" i="1"/>
  <c r="T11" i="1"/>
  <c r="T7" i="1"/>
  <c r="T12" i="1"/>
  <c r="T13" i="1"/>
  <c r="T10" i="1"/>
  <c r="I27" i="6"/>
  <c r="S19" i="6"/>
  <c r="S27" i="6" s="1"/>
  <c r="H19" i="6"/>
  <c r="AA7" i="34"/>
  <c r="R49" i="34" s="1"/>
  <c r="R50" i="34" s="1"/>
  <c r="C15" i="59"/>
  <c r="D16" i="59"/>
  <c r="AB7" i="34"/>
  <c r="T49" i="34" s="1"/>
  <c r="G49" i="34" s="1"/>
  <c r="G53" i="34" s="1"/>
  <c r="H53" i="34" s="1"/>
  <c r="I69" i="39"/>
  <c r="H71" i="39"/>
  <c r="H66" i="40"/>
  <c r="I64" i="40"/>
  <c r="G52" i="33"/>
  <c r="H52" i="33" s="1"/>
  <c r="G53" i="33"/>
  <c r="H53" i="33" s="1"/>
  <c r="R49" i="33"/>
  <c r="E48" i="33"/>
  <c r="R49" i="21"/>
  <c r="E48" i="21"/>
  <c r="W7" i="34"/>
  <c r="AC7" i="34"/>
  <c r="V49" i="34" s="1"/>
  <c r="I49" i="34" s="1"/>
  <c r="D31" i="6"/>
  <c r="E3" i="67"/>
  <c r="B2" i="67"/>
  <c r="D4" i="46"/>
  <c r="B3" i="46"/>
  <c r="B4" i="46"/>
  <c r="C16" i="44"/>
  <c r="C13" i="43"/>
  <c r="C13" i="12"/>
  <c r="M23" i="44"/>
  <c r="F37" i="44"/>
  <c r="M21" i="15"/>
  <c r="F35" i="15"/>
  <c r="C14" i="15"/>
  <c r="C14" i="12" l="1"/>
  <c r="C17" i="12"/>
  <c r="C14" i="43"/>
  <c r="C17" i="43"/>
  <c r="C18" i="43" s="1"/>
  <c r="C19" i="43" s="1"/>
  <c r="C20" i="43" s="1"/>
  <c r="E49" i="34"/>
  <c r="E54" i="34" s="1"/>
  <c r="F54" i="34" s="1"/>
  <c r="C15" i="15"/>
  <c r="C18" i="15"/>
  <c r="C17" i="44"/>
  <c r="C20" i="44"/>
  <c r="T16" i="1"/>
  <c r="H27" i="6"/>
  <c r="R19" i="6"/>
  <c r="D15" i="59"/>
  <c r="C14" i="59"/>
  <c r="J64" i="40"/>
  <c r="I66" i="40"/>
  <c r="J69" i="39"/>
  <c r="I71" i="39"/>
  <c r="J22" i="44"/>
  <c r="J20" i="15"/>
  <c r="C36" i="44"/>
  <c r="C34" i="15"/>
  <c r="F62" i="15"/>
  <c r="C61" i="15" s="1"/>
  <c r="I53" i="34"/>
  <c r="J53" i="34" s="1"/>
  <c r="E53" i="21"/>
  <c r="F53" i="21" s="1"/>
  <c r="E52" i="21"/>
  <c r="I53" i="21"/>
  <c r="J53" i="21" s="1"/>
  <c r="G54" i="34"/>
  <c r="H54" i="34" s="1"/>
  <c r="C48" i="21"/>
  <c r="C49" i="21"/>
  <c r="B3" i="21" s="1"/>
  <c r="B2" i="21" s="1"/>
  <c r="E52" i="33"/>
  <c r="F52" i="33" s="1"/>
  <c r="E53" i="33"/>
  <c r="F53" i="33" s="1"/>
  <c r="I53" i="33"/>
  <c r="J53" i="33" s="1"/>
  <c r="C49" i="33"/>
  <c r="B3" i="33" s="1"/>
  <c r="B2" i="33" s="1"/>
  <c r="C48" i="33"/>
  <c r="C50" i="34"/>
  <c r="B3" i="34" s="1"/>
  <c r="B2" i="34" s="1"/>
  <c r="C49" i="34"/>
  <c r="I6" i="6"/>
  <c r="I5" i="6"/>
  <c r="B3" i="67"/>
  <c r="B4" i="67"/>
  <c r="AE6" i="1"/>
  <c r="C18" i="12" l="1"/>
  <c r="C23" i="12" s="1"/>
  <c r="F52" i="21"/>
  <c r="I54" i="34"/>
  <c r="J54" i="34" s="1"/>
  <c r="E53" i="34"/>
  <c r="F53" i="34" s="1"/>
  <c r="C21" i="43"/>
  <c r="C23" i="43" s="1"/>
  <c r="C21" i="44"/>
  <c r="C22" i="44" s="1"/>
  <c r="C28" i="44" s="1"/>
  <c r="C19" i="15"/>
  <c r="C20" i="15" s="1"/>
  <c r="R27" i="6"/>
  <c r="R6" i="1"/>
  <c r="R16" i="1" s="1"/>
  <c r="C13" i="59"/>
  <c r="D14" i="59"/>
  <c r="K69" i="39"/>
  <c r="J71" i="39"/>
  <c r="K64" i="40"/>
  <c r="J66" i="40"/>
  <c r="C23" i="15" l="1"/>
  <c r="C26" i="15"/>
  <c r="C25" i="44"/>
  <c r="C31" i="44" s="1"/>
  <c r="C15" i="44" s="1"/>
  <c r="C12" i="59"/>
  <c r="T13" i="59"/>
  <c r="D13" i="59"/>
  <c r="K66" i="40"/>
  <c r="L64" i="40"/>
  <c r="K71" i="39"/>
  <c r="L69" i="39"/>
  <c r="C29" i="15" l="1"/>
  <c r="C13" i="15" s="1"/>
  <c r="J21" i="44"/>
  <c r="J19" i="44" s="1"/>
  <c r="J16" i="44"/>
  <c r="J24" i="44" s="1"/>
  <c r="C35" i="44"/>
  <c r="C33" i="44" s="1"/>
  <c r="C38" i="44"/>
  <c r="Q51" i="44"/>
  <c r="Q72" i="44"/>
  <c r="C39" i="44"/>
  <c r="C43" i="44"/>
  <c r="D12" i="59"/>
  <c r="C11" i="59"/>
  <c r="L66" i="40"/>
  <c r="M64" i="40"/>
  <c r="M69" i="39"/>
  <c r="L71" i="39"/>
  <c r="J19" i="15" l="1"/>
  <c r="J17" i="15" s="1"/>
  <c r="Q50" i="15"/>
  <c r="J59" i="15"/>
  <c r="J60" i="15" s="1"/>
  <c r="Q49" i="15" s="1"/>
  <c r="C55" i="15"/>
  <c r="C64" i="15" s="1"/>
  <c r="J35" i="15"/>
  <c r="C36" i="15"/>
  <c r="C56" i="15"/>
  <c r="J14" i="15"/>
  <c r="C33" i="15"/>
  <c r="C31" i="15" s="1"/>
  <c r="J15" i="44"/>
  <c r="J25" i="44" s="1"/>
  <c r="J18" i="44" s="1"/>
  <c r="J27" i="44" s="1"/>
  <c r="C37" i="15"/>
  <c r="Q71" i="15"/>
  <c r="C32" i="44"/>
  <c r="C42" i="44" s="1"/>
  <c r="C44" i="44" s="1"/>
  <c r="C45" i="44" s="1"/>
  <c r="D11" i="59"/>
  <c r="C10" i="59"/>
  <c r="C9" i="59" s="1"/>
  <c r="T9" i="59" s="1"/>
  <c r="M71" i="39"/>
  <c r="N69" i="39"/>
  <c r="N71" i="39" s="1"/>
  <c r="H9" i="39"/>
  <c r="N64" i="40"/>
  <c r="N66" i="40" s="1"/>
  <c r="M66" i="40"/>
  <c r="H9" i="40" s="1"/>
  <c r="L46" i="15" l="1"/>
  <c r="C30" i="15"/>
  <c r="C39" i="15" s="1"/>
  <c r="J39" i="15" s="1"/>
  <c r="J40" i="15" s="1"/>
  <c r="Q71" i="44"/>
  <c r="Q70" i="44" s="1"/>
  <c r="C60" i="15"/>
  <c r="C58" i="15" s="1"/>
  <c r="C63" i="15"/>
  <c r="J22" i="15"/>
  <c r="J13" i="15"/>
  <c r="J23" i="15" s="1"/>
  <c r="L52" i="44"/>
  <c r="B2" i="44"/>
  <c r="J9" i="39"/>
  <c r="AC9" i="39" s="1"/>
  <c r="V49" i="39" s="1"/>
  <c r="I49" i="39" s="1"/>
  <c r="F9" i="39"/>
  <c r="AA9" i="39" s="1"/>
  <c r="R49" i="39" s="1"/>
  <c r="D9" i="59"/>
  <c r="C8" i="59"/>
  <c r="D10" i="59"/>
  <c r="J9" i="40"/>
  <c r="AC9" i="40" s="1"/>
  <c r="V44" i="40" s="1"/>
  <c r="I44" i="40" s="1"/>
  <c r="U9" i="40"/>
  <c r="AB9" i="40"/>
  <c r="T44" i="40" s="1"/>
  <c r="G44" i="40" s="1"/>
  <c r="G48" i="40" s="1"/>
  <c r="H48" i="40" s="1"/>
  <c r="U9" i="39"/>
  <c r="AB9" i="39"/>
  <c r="T49" i="39" s="1"/>
  <c r="G49" i="39" s="1"/>
  <c r="F9" i="40"/>
  <c r="L51" i="15"/>
  <c r="C40" i="15" l="1"/>
  <c r="Q48" i="15" s="1"/>
  <c r="Q54" i="15" s="1"/>
  <c r="W9" i="39"/>
  <c r="S9" i="39"/>
  <c r="C57" i="15"/>
  <c r="C66" i="15" s="1"/>
  <c r="C67" i="15" s="1"/>
  <c r="C70" i="15" s="1"/>
  <c r="J16" i="15"/>
  <c r="J25" i="15" s="1"/>
  <c r="Q68" i="15"/>
  <c r="L57" i="15"/>
  <c r="L60" i="15" s="1"/>
  <c r="Q58" i="15" s="1"/>
  <c r="Q70" i="15"/>
  <c r="Q69" i="15" s="1"/>
  <c r="Q57" i="15"/>
  <c r="Q66" i="15"/>
  <c r="C43" i="15"/>
  <c r="B3" i="44"/>
  <c r="B4" i="44"/>
  <c r="B5" i="44"/>
  <c r="L58" i="44"/>
  <c r="L61" i="44" s="1"/>
  <c r="Q69" i="44"/>
  <c r="D8" i="59"/>
  <c r="C7" i="59"/>
  <c r="W9" i="40"/>
  <c r="E49" i="39"/>
  <c r="R50" i="39"/>
  <c r="I53" i="39"/>
  <c r="J53" i="39" s="1"/>
  <c r="G53" i="39"/>
  <c r="H53" i="39" s="1"/>
  <c r="G54" i="39"/>
  <c r="H54" i="39" s="1"/>
  <c r="AA9" i="40"/>
  <c r="R44" i="40" s="1"/>
  <c r="S9" i="40"/>
  <c r="G49" i="40"/>
  <c r="H49" i="40" s="1"/>
  <c r="I48" i="40"/>
  <c r="J48" i="40" s="1"/>
  <c r="C10" i="12" l="1"/>
  <c r="B2" i="15"/>
  <c r="B3" i="15" s="1"/>
  <c r="C10" i="43"/>
  <c r="C6" i="43" s="1"/>
  <c r="C24" i="43" s="1"/>
  <c r="J42" i="15"/>
  <c r="J43" i="15" s="1"/>
  <c r="C25" i="43"/>
  <c r="C27" i="43" s="1"/>
  <c r="B2" i="43" s="1"/>
  <c r="C46" i="15"/>
  <c r="C6" i="12"/>
  <c r="C29" i="12" s="1"/>
  <c r="Q67" i="15"/>
  <c r="Q63" i="15"/>
  <c r="Q76" i="15"/>
  <c r="L47" i="44"/>
  <c r="Q68" i="44"/>
  <c r="Q77" i="44" s="1"/>
  <c r="Q59" i="44"/>
  <c r="Q64" i="44" s="1"/>
  <c r="D7" i="59"/>
  <c r="C6" i="59"/>
  <c r="R45" i="40"/>
  <c r="E44" i="40"/>
  <c r="E54" i="39"/>
  <c r="F54" i="39" s="1"/>
  <c r="E53" i="39"/>
  <c r="F53" i="39" s="1"/>
  <c r="I54" i="39"/>
  <c r="J54" i="39" s="1"/>
  <c r="C49" i="39"/>
  <c r="C50" i="39"/>
  <c r="B4" i="43"/>
  <c r="D21" i="9" s="1"/>
  <c r="C21" i="9"/>
  <c r="D19" i="9"/>
  <c r="C19" i="9"/>
  <c r="B5" i="43"/>
  <c r="B3" i="43"/>
  <c r="C20" i="9"/>
  <c r="D20" i="9"/>
  <c r="C24" i="12" l="1"/>
  <c r="L44" i="9"/>
  <c r="G20" i="9"/>
  <c r="G21" i="9"/>
  <c r="G19" i="9"/>
  <c r="L43" i="9"/>
  <c r="D22" i="9"/>
  <c r="F32" i="43"/>
  <c r="F45" i="43" s="1"/>
  <c r="H45" i="43" s="1"/>
  <c r="C35" i="12"/>
  <c r="C33" i="12" s="1"/>
  <c r="C28" i="12"/>
  <c r="C26" i="12" s="1"/>
  <c r="C31" i="12" s="1"/>
  <c r="C30" i="12" s="1"/>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N43" i="9" l="1"/>
  <c r="C32" i="9"/>
  <c r="G22" i="9"/>
  <c r="G32" i="43"/>
  <c r="G36" i="43" s="1"/>
  <c r="F36" i="43"/>
  <c r="C36" i="12"/>
  <c r="B2" i="12" s="1"/>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B4" i="12"/>
  <c r="O43" i="9" l="1"/>
  <c r="O38" i="9"/>
  <c r="C42" i="9"/>
  <c r="C33" i="9"/>
  <c r="C35" i="9"/>
  <c r="F42" i="9" s="1"/>
  <c r="C34" i="9"/>
  <c r="B3" i="40"/>
  <c r="B5" i="40"/>
  <c r="B4" i="40"/>
  <c r="B5" i="12"/>
  <c r="B3" i="12"/>
  <c r="D14" i="66" l="1"/>
  <c r="N68" i="9"/>
  <c r="R5" i="54"/>
  <c r="B48" i="63" s="1"/>
  <c r="D63" i="9"/>
  <c r="E42" i="9"/>
  <c r="P5" i="54" s="1"/>
  <c r="B46" i="63" s="1"/>
  <c r="M38" i="9"/>
  <c r="K27" i="9" s="1"/>
  <c r="D42" i="9"/>
  <c r="Q5" i="54" s="1"/>
  <c r="B47" i="63" s="1"/>
  <c r="N38" i="9"/>
  <c r="K28" i="9" s="1"/>
  <c r="K26" i="9"/>
  <c r="K25" i="9"/>
  <c r="L12" i="71"/>
  <c r="C111" i="9" l="1"/>
  <c r="C104" i="9" s="1"/>
  <c r="C82" i="9"/>
  <c r="C81" i="9" s="1"/>
  <c r="C85" i="9" s="1"/>
  <c r="C86" i="9" s="1"/>
  <c r="D72" i="9" s="1"/>
  <c r="D70" i="9"/>
  <c r="D71" i="9"/>
  <c r="D66" i="9" s="1"/>
  <c r="N72" i="9" s="1"/>
  <c r="D73" i="9"/>
  <c r="N73" i="9" s="1"/>
  <c r="C96" i="9"/>
  <c r="C91" i="9" s="1"/>
  <c r="C103" i="9"/>
  <c r="C113" i="9" s="1"/>
  <c r="C90" i="9"/>
  <c r="E14" i="66"/>
  <c r="B5" i="66"/>
  <c r="F14" i="66"/>
  <c r="L11" i="71"/>
  <c r="C97" i="9" l="1"/>
  <c r="D5" i="66"/>
  <c r="C5" i="66"/>
  <c r="C98" i="9"/>
  <c r="E98" i="9" s="1"/>
  <c r="E99" i="9" s="1"/>
  <c r="C114" i="9"/>
  <c r="E114" i="9" s="1"/>
  <c r="E115" i="9" s="1"/>
  <c r="L13" i="71"/>
  <c r="C115" i="9" l="1"/>
  <c r="D76" i="9" s="1"/>
  <c r="D74" i="9" s="1"/>
  <c r="N74" i="9" s="1"/>
  <c r="O77" i="9" s="1"/>
  <c r="Q77" i="9" s="1"/>
  <c r="C99" i="9"/>
  <c r="O79" i="9" l="1"/>
  <c r="O81" i="9" s="1"/>
  <c r="O78"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<sst xmlns="http://schemas.openxmlformats.org/spreadsheetml/2006/main" count="7144" uniqueCount="3269">
  <si>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</si>
  <si>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</si>
  <si>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</si>
  <si>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</si>
  <si>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</si>
  <si>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</si>
  <si>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</si>
  <si>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</si>
  <si>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</si>
  <si>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</si>
  <si>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</si>
  <si>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</si>
  <si>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</si>
  <si>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</si>
  <si>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</si>
  <si>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</si>
  <si>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</si>
  <si>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</si>
  <si>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</si>
  <si>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</si>
  <si>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</si>
  <si>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</si>
  <si>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</si>
  <si>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</si>
  <si>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</si>
  <si>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</si>
  <si>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</si>
  <si>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</si>
  <si>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</si>
  <si>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</si>
  <si>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</si>
  <si>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</si>
  <si>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</si>
  <si>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</si>
  <si>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</si>
  <si>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</si>
  <si>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</si>
  <si>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</si>
  <si>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</si>
  <si>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</si>
  <si>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</si>
  <si>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</si>
  <si>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</si>
  <si>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</si>
  <si>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</si>
  <si>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</si>
  <si>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</si>
  <si>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</si>
  <si>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</si>
  <si>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</si>
  <si>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</si>
  <si>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</si>
  <si>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</si>
  <si>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</si>
  <si>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</si>
  <si>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</si>
  <si>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</si>
  <si>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</si>
  <si>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</si>
  <si>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</si>
  <si>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</si>
  <si>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</si>
  <si>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</si>
  <si>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</si>
  <si>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</si>
  <si>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</si>
  <si>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</si>
  <si>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</si>
  <si>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</si>
  <si>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</si>
  <si>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</si>
  <si>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</si>
  <si>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</si>
  <si>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</si>
  <si>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</si>
  <si>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</si>
  <si>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</si>
  <si>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</si>
  <si>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</si>
  <si>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</si>
  <si>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</si>
  <si>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</si>
  <si>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</si>
  <si>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</si>
  <si>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</si>
  <si>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</si>
  <si>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</si>
  <si>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</si>
  <si>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</si>
  <si>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</si>
  <si>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</si>
  <si>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</si>
  <si>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</si>
  <si>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</si>
  <si>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</si>
  <si>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</si>
  <si>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</si>
  <si>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</si>
  <si>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</si>
  <si>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</si>
  <si>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</si>
  <si>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</si>
  <si>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</si>
  <si>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</si>
  <si>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</si>
  <si>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</si>
  <si>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</si>
  <si>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</si>
  <si>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</si>
  <si>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</si>
  <si>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</si>
  <si>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</si>
  <si>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</si>
  <si>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</si>
  <si>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</si>
  <si>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</si>
  <si>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</si>
  <si>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</si>
  <si>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</si>
  <si>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</si>
  <si>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</si>
  <si>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</si>
  <si>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</si>
  <si>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</si>
  <si>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</si>
  <si>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</si>
  <si>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</si>
  <si>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</si>
  <si>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</si>
  <si>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</si>
  <si>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</si>
  <si>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</si>
  <si>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</si>
  <si>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</si>
  <si>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</si>
  <si>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</si>
  <si>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</si>
  <si>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</si>
  <si>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</si>
  <si>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</si>
  <si>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</si>
  <si>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</si>
  <si>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</si>
  <si>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</si>
  <si>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</si>
  <si>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</si>
  <si>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</si>
  <si>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</si>
  <si>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</si>
  <si>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</si>
  <si>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</si>
  <si>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</si>
  <si>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</si>
  <si>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</si>
  <si>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</si>
  <si>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</si>
  <si>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</si>
  <si>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</si>
  <si>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</si>
  <si>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</si>
  <si>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</si>
  <si>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</si>
  <si>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</si>
  <si>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</si>
  <si>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</si>
  <si>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</si>
  <si>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</si>
  <si>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</si>
  <si>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</si>
  <si>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</si>
  <si>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</si>
  <si>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</si>
  <si>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</si>
  <si>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</si>
  <si>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</si>
  <si>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</si>
  <si>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</si>
  <si>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</si>
  <si>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</si>
  <si>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</si>
  <si>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</si>
  <si>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</si>
  <si>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</si>
  <si>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</si>
  <si>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</si>
  <si>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</si>
  <si>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</si>
  <si>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</si>
  <si>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</si>
  <si>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</si>
  <si>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</si>
  <si>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</si>
  <si>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</si>
  <si>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</si>
  <si>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</si>
  <si>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</si>
  <si>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</si>
  <si>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</si>
  <si>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</si>
  <si>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</si>
  <si>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</si>
  <si>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</si>
  <si>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</si>
  <si>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</si>
  <si>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</si>
  <si>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</si>
  <si>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</si>
  <si>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</si>
  <si>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</si>
  <si>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</si>
  <si>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</si>
  <si>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</si>
  <si>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</si>
  <si>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</si>
  <si>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</si>
  <si>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</si>
  <si>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</si>
  <si>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</si>
  <si>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</si>
  <si>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</si>
  <si>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</si>
  <si>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</si>
  <si>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</si>
  <si>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</si>
  <si>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</si>
  <si>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</si>
  <si>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</si>
  <si>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</si>
  <si>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</si>
  <si>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</si>
  <si>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</si>
  <si>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</si>
  <si>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</si>
  <si>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</si>
  <si>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</si>
  <si>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</si>
  <si>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</si>
  <si>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</si>
  <si>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</si>
  <si>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</si>
  <si>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</si>
  <si>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</si>
  <si>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</si>
  <si>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</si>
  <si>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</si>
  <si>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</si>
  <si>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</si>
  <si>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</si>
  <si>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</si>
  <si>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</si>
  <si>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</si>
  <si>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</si>
  <si>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</si>
  <si>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</si>
  <si>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</si>
  <si>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</si>
  <si>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</si>
  <si>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</si>
  <si>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</si>
  <si>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</si>
  <si>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</si>
  <si>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</si>
  <si>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</si>
  <si>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</si>
  <si>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</si>
  <si>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</si>
  <si>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</si>
  <si>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</si>
  <si>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</si>
  <si>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</si>
  <si>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</si>
  <si>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</si>
  <si>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</si>
  <si>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</si>
  <si>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</si>
  <si>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</si>
  <si>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</si>
  <si>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</si>
  <si>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</si>
  <si>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</si>
  <si>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</si>
  <si>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</si>
  <si>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</si>
  <si>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</si>
  <si>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</si>
  <si>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</si>
  <si>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</si>
  <si>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</si>
  <si>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</si>
  <si>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</si>
  <si>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</si>
  <si>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</si>
  <si>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</si>
  <si>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</si>
  <si>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</si>
  <si>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</si>
  <si>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</si>
  <si>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</si>
  <si>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</si>
  <si>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</si>
  <si>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</si>
  <si>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</si>
  <si>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</si>
  <si>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</si>
  <si>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</si>
  <si>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</si>
  <si>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</si>
  <si>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</si>
  <si>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</si>
  <si>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</si>
  <si>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</si>
  <si>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</si>
  <si>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</si>
  <si>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</si>
  <si>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</si>
  <si>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</si>
  <si>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</si>
  <si>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</si>
  <si>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</si>
  <si>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</si>
  <si>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</si>
  <si>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</si>
  <si>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</si>
  <si>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</si>
  <si>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</si>
  <si>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</si>
  <si>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</si>
  <si>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</si>
  <si>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</si>
  <si>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</si>
  <si>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</si>
  <si>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</si>
  <si>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</si>
  <si>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</si>
  <si>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</si>
  <si>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</si>
  <si>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</si>
  <si>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</si>
  <si>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</si>
  <si>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</si>
  <si>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</si>
  <si>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</si>
  <si>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</si>
  <si>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</si>
  <si>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</si>
  <si>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</si>
  <si>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</si>
  <si>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</si>
  <si>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</si>
  <si>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</si>
  <si>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</si>
  <si>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</si>
  <si>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</si>
  <si>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</si>
  <si>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</si>
  <si>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</si>
  <si>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</si>
  <si>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</si>
  <si>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</si>
  <si>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</si>
  <si>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</si>
  <si>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</si>
  <si>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</si>
  <si>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</si>
  <si>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</si>
  <si>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</si>
  <si>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</si>
  <si>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</si>
  <si>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</si>
  <si>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</si>
  <si>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</si>
  <si>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</si>
  <si>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</si>
  <si>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</si>
  <si>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</si>
  <si>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</si>
  <si>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</si>
  <si>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</si>
  <si>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</si>
  <si>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</si>
  <si>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</si>
  <si>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</si>
  <si>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</si>
  <si>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</si>
  <si>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</si>
  <si>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</si>
  <si>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</si>
  <si>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</si>
  <si>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</si>
  <si>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</si>
  <si>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</si>
  <si>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</si>
  <si>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</si>
  <si>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</si>
  <si>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</si>
  <si>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</si>
  <si>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</si>
  <si>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</si>
  <si>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</si>
  <si>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</si>
  <si>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</si>
  <si>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</si>
  <si>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</si>
  <si>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</si>
  <si>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</si>
  <si>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</si>
  <si>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</si>
  <si>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</si>
  <si>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</si>
  <si>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</si>
  <si>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</si>
  <si>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</si>
  <si>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</si>
  <si>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</si>
  <si>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</si>
  <si>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</si>
  <si>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</si>
  <si>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</si>
  <si>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</si>
  <si>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</si>
  <si>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</si>
  <si>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</si>
  <si>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</si>
  <si>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</si>
  <si>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</si>
  <si>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</si>
  <si>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</si>
  <si>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</si>
  <si>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</si>
  <si>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</si>
  <si>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</si>
  <si>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</si>
  <si>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</si>
  <si>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</si>
  <si>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</si>
  <si>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</si>
  <si>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</si>
  <si>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</si>
  <si>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</si>
  <si>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</si>
  <si>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</si>
  <si>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</si>
  <si>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</si>
  <si>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</si>
  <si>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</si>
  <si>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</si>
  <si>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</si>
  <si>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</si>
  <si>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</si>
  <si>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</si>
  <si>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</si>
  <si>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</si>
  <si>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</si>
  <si>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</si>
  <si>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</si>
  <si>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</si>
  <si>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</si>
  <si>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</si>
  <si>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</si>
  <si>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</si>
  <si>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</si>
  <si>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</si>
  <si>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</si>
  <si>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</si>
  <si>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</si>
  <si>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</si>
  <si>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</si>
  <si>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</si>
  <si>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</si>
  <si>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</si>
  <si>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</si>
  <si>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</si>
  <si>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</si>
  <si>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</si>
  <si>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</si>
  <si>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</si>
  <si>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</si>
  <si>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</si>
  <si>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</si>
  <si>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</si>
  <si>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</si>
  <si>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</si>
  <si>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</si>
  <si>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</si>
  <si>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</si>
  <si>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</si>
  <si>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</si>
  <si>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</si>
  <si>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</si>
  <si>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</si>
  <si>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</si>
  <si>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</si>
  <si>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</si>
  <si>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</si>
  <si>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</si>
  <si>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</si>
  <si>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</si>
  <si>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</si>
  <si>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</si>
  <si>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</si>
  <si>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</si>
  <si>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</si>
  <si>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</si>
  <si>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</si>
  <si>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</si>
  <si>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</si>
  <si>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</si>
  <si>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</si>
  <si>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</si>
  <si>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</si>
  <si>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</si>
  <si>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</si>
  <si>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</si>
  <si>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</si>
  <si>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</si>
  <si>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</si>
  <si>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</si>
  <si>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</si>
  <si>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</si>
  <si>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</si>
  <si>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</si>
  <si>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</si>
  <si>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</si>
  <si>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</si>
  <si>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</si>
  <si>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</si>
  <si>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</si>
  <si>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</si>
  <si>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</si>
  <si>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</si>
  <si>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</si>
  <si>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</si>
  <si>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</si>
  <si>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</si>
  <si>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</si>
  <si>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</si>
  <si>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</si>
  <si>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</si>
  <si>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</si>
  <si>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</si>
  <si>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</si>
  <si>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</si>
  <si>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</si>
  <si>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</si>
  <si>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</si>
  <si>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</si>
  <si>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</si>
  <si>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</si>
  <si>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</si>
  <si>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</si>
  <si>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</si>
  <si>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</si>
  <si>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</si>
  <si>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</si>
  <si>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</si>
  <si>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</si>
  <si>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</si>
  <si>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</si>
  <si>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</si>
  <si>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</si>
  <si>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</si>
  <si>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</si>
  <si>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</si>
  <si>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</si>
  <si>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</si>
  <si>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</si>
  <si>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</si>
  <si>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</si>
  <si>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</si>
  <si>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</si>
  <si>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</si>
  <si>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</si>
  <si>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</si>
  <si>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</si>
  <si>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</si>
  <si>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</si>
  <si>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</si>
  <si>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</si>
  <si>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</si>
  <si>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</si>
  <si>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</si>
  <si>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</si>
  <si>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</si>
  <si>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</si>
  <si>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</si>
  <si>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</si>
  <si>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</si>
  <si>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</si>
  <si>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</si>
  <si>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</si>
  <si>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</si>
  <si>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</si>
  <si>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</si>
  <si>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</si>
  <si>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</si>
  <si>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</si>
  <si>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</si>
  <si>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</si>
  <si>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</si>
  <si>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</si>
  <si>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</si>
  <si>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</si>
  <si>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</si>
  <si>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</si>
  <si>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</si>
  <si>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</si>
  <si>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</si>
  <si>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</si>
  <si>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</si>
  <si>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</si>
  <si>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</si>
  <si>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</si>
  <si>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</si>
  <si>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</si>
  <si>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</si>
  <si>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</si>
  <si>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</si>
  <si>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</si>
  <si>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</si>
  <si>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</si>
  <si>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</si>
  <si>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</si>
  <si>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</si>
  <si>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</si>
  <si>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</si>
  <si>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</si>
  <si>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</si>
  <si>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</si>
  <si>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</si>
  <si>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</si>
  <si>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</si>
  <si>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</si>
  <si>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</si>
  <si>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</si>
  <si>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</si>
  <si>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</si>
  <si>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</si>
  <si>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</si>
  <si>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</si>
  <si>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</si>
  <si>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</si>
  <si>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</si>
  <si>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</si>
  <si>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</si>
  <si>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</si>
  <si>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</si>
  <si>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</si>
  <si>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</si>
  <si>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</si>
  <si>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</si>
  <si>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</si>
  <si>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</si>
  <si>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</si>
  <si>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</si>
  <si>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</si>
  <si>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</si>
  <si>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</si>
  <si>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</si>
  <si>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</si>
  <si>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</si>
  <si>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</si>
  <si>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</si>
  <si>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</si>
  <si>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</si>
  <si>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</si>
  <si>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</si>
  <si>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</si>
  <si>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</si>
  <si>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</si>
  <si>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</si>
  <si>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</si>
  <si>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</si>
  <si>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</si>
  <si>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</si>
  <si>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</si>
  <si>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</si>
  <si>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</si>
  <si>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</si>
  <si>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</si>
  <si>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</si>
  <si>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</si>
  <si>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</si>
  <si>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</si>
  <si>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</si>
  <si>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</si>
  <si>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</si>
  <si>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</si>
  <si>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</si>
  <si>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</si>
  <si>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</si>
  <si>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</si>
  <si>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</si>
  <si>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</si>
  <si>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</si>
  <si>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</si>
  <si>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</si>
  <si>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</si>
  <si>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</si>
  <si>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</si>
  <si>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</si>
  <si>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</si>
  <si>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</si>
  <si>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</si>
  <si>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</si>
  <si>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</si>
  <si>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</si>
  <si>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</si>
  <si>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</si>
  <si>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</si>
  <si>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</si>
  <si>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</si>
  <si>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</si>
  <si>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</si>
  <si>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</si>
  <si>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</si>
  <si>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</si>
  <si>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</si>
  <si>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</si>
  <si>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</si>
  <si>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</si>
  <si>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</si>
  <si>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</si>
  <si>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</si>
  <si>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</si>
  <si>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</si>
  <si>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</si>
  <si>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</si>
  <si>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</si>
  <si>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</si>
  <si>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</si>
  <si>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</si>
  <si>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</si>
  <si>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</si>
  <si>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</si>
  <si>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</si>
  <si>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</si>
  <si>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</si>
  <si>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</si>
  <si>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</si>
  <si>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</si>
  <si>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</si>
  <si>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</si>
  <si>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</si>
  <si>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</si>
  <si>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</si>
  <si>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</si>
  <si>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</si>
  <si>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</si>
  <si>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</si>
  <si>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</si>
  <si>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</si>
  <si>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</si>
  <si>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</si>
  <si>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</si>
  <si>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</si>
  <si>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</si>
  <si>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</si>
  <si>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</si>
  <si>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</si>
  <si>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</si>
  <si>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</si>
  <si>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</si>
  <si>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</si>
  <si>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</si>
  <si>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</si>
  <si>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</si>
  <si>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</si>
  <si>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</si>
  <si>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</si>
  <si>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</si>
  <si>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</si>
  <si>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</si>
  <si>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</si>
  <si>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</si>
  <si>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</si>
  <si>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</si>
  <si>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</si>
  <si>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</si>
  <si>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</si>
  <si>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</si>
  <si>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</si>
  <si>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</si>
  <si>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</si>
  <si>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</si>
  <si>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</si>
  <si>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</si>
  <si>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</si>
  <si>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</si>
  <si>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</si>
  <si>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</si>
  <si>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</si>
  <si>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</si>
  <si>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</si>
  <si>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</si>
  <si>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</si>
  <si>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</si>
  <si>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</si>
  <si>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</si>
  <si>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</si>
  <si>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</si>
  <si>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</si>
  <si>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</si>
  <si>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</si>
  <si>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</si>
  <si>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</si>
  <si>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</si>
  <si>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</si>
  <si>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</si>
  <si>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</si>
  <si>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</si>
  <si>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</si>
  <si>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</si>
  <si>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</si>
  <si>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</si>
  <si>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</si>
  <si>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</si>
  <si>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</si>
  <si>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</si>
  <si>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</si>
  <si>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</si>
  <si>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</si>
  <si>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</si>
  <si>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</si>
  <si>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</si>
  <si>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</si>
  <si>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</si>
  <si>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</si>
  <si>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</si>
  <si>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</si>
  <si>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</si>
  <si>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</si>
  <si>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</si>
  <si>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</si>
  <si>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</si>
  <si>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</si>
  <si>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</si>
  <si>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</si>
  <si>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</si>
  <si>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</si>
  <si>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</si>
  <si>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</si>
  <si>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</si>
  <si>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</si>
  <si>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</si>
  <si>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</si>
  <si>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</si>
  <si>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</si>
  <si>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</si>
  <si>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</si>
  <si>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</si>
  <si>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</si>
  <si>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</si>
  <si>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</si>
  <si>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</si>
  <si>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</si>
  <si>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</si>
  <si>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</si>
  <si>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</si>
  <si>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</si>
  <si>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</si>
  <si>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</si>
  <si>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</si>
  <si>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</si>
  <si>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</si>
  <si>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</si>
  <si>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</si>
  <si>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</si>
  <si>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</si>
  <si>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</si>
  <si>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</si>
  <si>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</si>
  <si>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</si>
  <si>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</si>
  <si>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</si>
  <si>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</si>
  <si>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</si>
  <si>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</si>
  <si>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</si>
  <si>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</si>
  <si>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</si>
  <si>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</si>
  <si>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</si>
  <si>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</si>
  <si>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</si>
  <si>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</si>
  <si>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</si>
  <si>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</si>
  <si>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</si>
  <si>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</si>
  <si>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</si>
  <si>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</si>
  <si>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</si>
  <si>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</si>
  <si>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</si>
  <si>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</si>
  <si>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</si>
  <si>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</si>
  <si>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</si>
  <si>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</si>
  <si>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</si>
  <si>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</si>
  <si>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</si>
  <si>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</si>
  <si>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</si>
  <si>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</si>
  <si>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</si>
  <si>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</si>
  <si>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</si>
  <si>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</si>
  <si>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</si>
  <si>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</si>
  <si>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</si>
  <si>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</si>
  <si>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</si>
  <si>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</si>
  <si>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</si>
  <si>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</si>
  <si>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</si>
  <si>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</si>
  <si>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</si>
  <si>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</si>
  <si>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</si>
  <si>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</si>
  <si>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</si>
  <si>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</si>
  <si>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</si>
  <si>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</si>
  <si>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</si>
  <si>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</si>
  <si>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</si>
  <si>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</si>
  <si>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</si>
  <si>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</si>
  <si>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</si>
  <si>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</si>
  <si>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</si>
  <si>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</si>
  <si>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</si>
  <si>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</si>
  <si>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</si>
  <si>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</si>
  <si>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</si>
  <si>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</si>
  <si>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</si>
  <si>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</si>
  <si>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</si>
  <si>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</si>
  <si>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</si>
  <si>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</si>
  <si>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</si>
  <si>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</si>
  <si>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</si>
  <si>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</si>
  <si>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</si>
  <si>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</si>
  <si>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</si>
  <si>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</si>
  <si>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</si>
  <si>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</si>
  <si>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</si>
  <si>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</si>
  <si>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</si>
  <si>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</si>
  <si>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</si>
  <si>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</si>
  <si>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</si>
  <si>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</si>
  <si>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</si>
  <si>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</si>
  <si>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</si>
  <si>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</si>
  <si>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</si>
  <si>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</si>
  <si>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</si>
  <si>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</si>
  <si>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</si>
  <si>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</si>
  <si>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</si>
  <si>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</si>
  <si>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</si>
  <si>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</si>
  <si>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</si>
  <si>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</si>
  <si>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</si>
  <si>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</si>
  <si>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</si>
  <si>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</si>
  <si>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</si>
  <si>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</si>
  <si>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</si>
  <si>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</si>
  <si>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</si>
  <si>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</si>
  <si>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</si>
  <si>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</si>
  <si>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</si>
  <si>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</si>
  <si>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</si>
  <si>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</si>
  <si>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</si>
  <si>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</si>
  <si>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</si>
  <si>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</si>
  <si>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</si>
  <si>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</si>
  <si>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</si>
  <si>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</si>
  <si>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</si>
  <si>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</si>
  <si>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</si>
  <si>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</si>
  <si>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</si>
  <si>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</si>
  <si>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</si>
  <si>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</si>
  <si>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</si>
  <si>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</si>
  <si>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</si>
  <si>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</si>
  <si>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</si>
  <si>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</si>
  <si>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</si>
  <si>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</si>
  <si>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</si>
  <si>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</si>
  <si>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</si>
  <si>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</si>
  <si>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</si>
  <si>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</si>
  <si>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</si>
  <si>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</si>
  <si>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</si>
  <si>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</si>
  <si>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</si>
  <si>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</si>
  <si>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</si>
  <si>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</si>
  <si>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</si>
  <si>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</si>
  <si>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</si>
  <si>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</si>
  <si>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</si>
  <si>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</si>
  <si>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</si>
  <si>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</si>
  <si>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</si>
  <si>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</si>
  <si>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</si>
  <si>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</si>
  <si>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</si>
  <si>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</si>
  <si>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</si>
  <si>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</si>
  <si>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</si>
  <si>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</si>
  <si>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</si>
  <si>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</si>
  <si>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</si>
  <si>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</si>
  <si>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</si>
  <si>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</si>
  <si>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</si>
  <si>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</si>
  <si>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</si>
  <si>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</si>
  <si>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</si>
  <si>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</si>
  <si>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</si>
  <si>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</si>
  <si>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</si>
  <si>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</si>
  <si>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</si>
  <si>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</si>
  <si>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</si>
  <si>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</si>
  <si>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</si>
  <si>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</si>
  <si>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</si>
  <si>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</si>
  <si>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</si>
  <si>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</si>
  <si>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</si>
  <si>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</si>
  <si>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</si>
  <si>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</si>
  <si>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</si>
  <si>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</si>
  <si>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</si>
  <si>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</si>
  <si>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</si>
  <si>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</si>
  <si>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</si>
  <si>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</si>
  <si>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</si>
  <si>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</si>
  <si>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</si>
  <si>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</si>
  <si>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</si>
  <si>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</si>
  <si>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</si>
  <si>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</si>
  <si>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</si>
  <si>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</si>
  <si>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</si>
  <si>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</si>
  <si>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</si>
  <si>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</si>
  <si>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</si>
  <si>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</si>
  <si>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</si>
  <si>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</si>
  <si>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</si>
  <si>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</si>
  <si>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</si>
  <si>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</si>
  <si>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</si>
  <si>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</si>
  <si>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</si>
  <si>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</si>
  <si>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</si>
  <si>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</si>
  <si>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</si>
  <si>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</si>
  <si>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</si>
  <si>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</si>
  <si>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</si>
  <si>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</si>
  <si>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</si>
  <si>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</si>
  <si>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</si>
  <si>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</si>
  <si>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</si>
  <si>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</si>
  <si>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</si>
  <si>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</si>
  <si>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</si>
  <si>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</si>
  <si>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</si>
  <si>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</si>
  <si>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</si>
  <si>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</si>
  <si>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</si>
  <si>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</si>
  <si>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</si>
  <si>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</si>
  <si>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</si>
  <si>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</si>
  <si>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</si>
  <si>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</si>
  <si>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</si>
  <si>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</si>
  <si>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</si>
  <si>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</si>
  <si>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</si>
  <si>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</si>
  <si>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</si>
  <si>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</si>
  <si>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</si>
  <si>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</si>
  <si>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</si>
  <si>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</si>
  <si>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</si>
  <si>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</si>
  <si>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</si>
  <si>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</si>
  <si>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</si>
  <si>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</si>
  <si>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</si>
  <si>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</si>
  <si>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</si>
  <si>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</si>
  <si>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</si>
  <si>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</si>
  <si>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</si>
  <si>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</si>
  <si>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</si>
  <si>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</si>
  <si>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</si>
  <si>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</si>
  <si>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</si>
  <si>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</si>
  <si>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</si>
  <si>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</si>
  <si>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</si>
  <si>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</si>
  <si>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</si>
  <si>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</si>
  <si>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</si>
  <si>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</si>
  <si>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</si>
  <si>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</si>
  <si>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</si>
  <si>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</si>
  <si>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</si>
  <si>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</si>
  <si>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</si>
  <si>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</si>
  <si>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</si>
  <si>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</si>
  <si>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</si>
  <si>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</si>
  <si>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</si>
  <si>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</si>
  <si>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</si>
  <si>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</si>
  <si>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</si>
  <si>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</si>
  <si>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</si>
  <si>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</si>
  <si>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</si>
  <si>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</si>
  <si>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</si>
  <si>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</si>
  <si>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</si>
  <si>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</si>
  <si>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</si>
  <si>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</si>
  <si>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</si>
  <si>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</si>
  <si>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</si>
  <si>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</si>
  <si>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</si>
  <si>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</si>
  <si>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</si>
  <si>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</si>
  <si>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</si>
  <si>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</si>
  <si>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</si>
  <si>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</si>
  <si>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</si>
  <si>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</si>
  <si>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</si>
  <si>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</si>
  <si>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</si>
  <si>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</si>
  <si>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</si>
  <si>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</si>
  <si>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</si>
  <si>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</si>
  <si>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</si>
  <si>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</si>
  <si>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</si>
  <si>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</si>
  <si>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</si>
  <si>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</si>
  <si>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</si>
  <si>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</si>
  <si>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</si>
  <si>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</si>
  <si>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</si>
  <si>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</si>
  <si>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</si>
  <si>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</si>
  <si>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</si>
  <si>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</si>
  <si>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</si>
  <si>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</si>
  <si>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</si>
  <si>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</si>
  <si>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</si>
  <si>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</si>
  <si>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</si>
  <si>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</si>
  <si>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</si>
  <si>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</si>
  <si>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</si>
  <si>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</si>
  <si>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</si>
  <si>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</si>
  <si>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</si>
  <si>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</si>
  <si>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</si>
  <si>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</si>
  <si>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</si>
  <si>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</si>
  <si>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</si>
  <si>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</si>
  <si>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</si>
  <si>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</si>
  <si>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</si>
  <si>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</si>
  <si>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</si>
  <si>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</si>
  <si>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</si>
  <si>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</si>
  <si>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</si>
  <si>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</si>
  <si>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</si>
  <si>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</si>
  <si>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</si>
  <si>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</si>
  <si>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</si>
  <si>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</si>
  <si>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</si>
  <si>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</si>
  <si>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</si>
  <si>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</si>
  <si>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</si>
  <si>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</si>
  <si>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</si>
  <si>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</si>
  <si>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</si>
  <si>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</si>
  <si>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</si>
  <si>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</si>
  <si>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</si>
  <si>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</si>
  <si>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</si>
  <si>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</si>
  <si>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</si>
  <si>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</si>
  <si>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</si>
  <si>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</si>
  <si>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</si>
  <si>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</si>
  <si>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</si>
  <si>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</si>
  <si>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</si>
  <si>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</si>
  <si>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</si>
  <si>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</si>
  <si>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</si>
  <si>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</si>
  <si>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</si>
  <si>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</si>
  <si>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</si>
  <si>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</si>
  <si>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</si>
  <si>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</si>
  <si>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</si>
  <si>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</si>
  <si>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</si>
  <si>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</si>
  <si>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</si>
  <si>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</si>
  <si>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</si>
  <si>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</si>
  <si>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</si>
  <si>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</si>
  <si>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</si>
  <si>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</si>
  <si>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</si>
  <si>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</si>
  <si>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</si>
  <si>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</si>
  <si>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</si>
  <si>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</si>
  <si>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</si>
  <si>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</si>
  <si>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</si>
  <si>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</si>
  <si>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</si>
  <si>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</si>
  <si>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</si>
  <si>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</si>
  <si>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</si>
  <si>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</si>
  <si>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</si>
  <si>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</si>
  <si>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</si>
  <si>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</si>
  <si>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</si>
  <si>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</si>
  <si>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</si>
  <si>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</si>
  <si>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</si>
  <si>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</si>
  <si>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</si>
  <si>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</si>
  <si>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</si>
  <si>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</si>
  <si>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</si>
  <si>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</si>
  <si>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</si>
  <si>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</si>
  <si>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</si>
  <si>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</si>
  <si>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</si>
  <si>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</si>
  <si>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</si>
  <si>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</si>
  <si>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</si>
  <si>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</si>
  <si>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</si>
  <si>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</si>
  <si>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</si>
  <si>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</si>
  <si>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</si>
  <si>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</si>
  <si>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</si>
  <si>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</si>
  <si>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</si>
  <si>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</si>
  <si>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</si>
  <si>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</si>
  <si>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</si>
  <si>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</si>
  <si>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</si>
  <si>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</si>
  <si>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</si>
  <si>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</si>
  <si>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</si>
  <si>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</si>
  <si>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</si>
  <si>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</si>
  <si>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</si>
  <si>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</si>
  <si>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</si>
  <si>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</si>
  <si>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</si>
  <si>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</si>
  <si>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</si>
  <si>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</si>
  <si>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</si>
  <si>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</si>
  <si>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</si>
  <si>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</si>
  <si>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</si>
  <si>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</si>
  <si>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</si>
  <si>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</si>
  <si>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</si>
  <si>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</si>
  <si>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</si>
  <si>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</si>
  <si>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</si>
  <si>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</si>
  <si>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</si>
  <si>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</si>
  <si>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</si>
  <si>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</si>
  <si>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</si>
  <si>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</si>
  <si>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</si>
  <si>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</si>
  <si>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</si>
  <si>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</si>
  <si>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</si>
  <si>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</si>
  <si>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</si>
  <si>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</si>
  <si>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</si>
  <si>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</si>
  <si>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</si>
  <si>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</si>
  <si>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</si>
  <si>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</si>
  <si>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</si>
  <si>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</si>
  <si>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</si>
  <si>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</si>
  <si>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</si>
  <si>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</si>
  <si>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</si>
  <si>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</si>
  <si>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</si>
  <si>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</si>
  <si>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</si>
  <si>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</si>
  <si>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</si>
  <si>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</si>
  <si>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</si>
  <si>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</si>
  <si>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</si>
  <si>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</si>
  <si>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</si>
  <si>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</si>
  <si>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</si>
  <si>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</si>
  <si>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</si>
  <si>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</si>
  <si>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</si>
  <si>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</si>
  <si>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</si>
  <si>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</si>
  <si>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</si>
  <si>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</si>
  <si>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</si>
  <si>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</si>
  <si>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</si>
  <si>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</si>
  <si>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</si>
  <si>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</si>
  <si>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</si>
  <si>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</si>
  <si>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</si>
  <si>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</si>
  <si>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</si>
  <si>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</si>
  <si>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</si>
  <si>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</si>
  <si>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</si>
  <si>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</si>
  <si>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</si>
  <si>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</si>
  <si>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</si>
  <si>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</si>
  <si>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</si>
  <si>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</si>
  <si>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</si>
  <si>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</si>
  <si>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</si>
  <si>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</si>
  <si>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</si>
  <si>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</si>
  <si>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</si>
  <si>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</si>
  <si>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</si>
  <si>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</si>
  <si>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</si>
  <si>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</si>
  <si>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</si>
  <si>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</si>
  <si>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</si>
  <si>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</si>
  <si>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</si>
  <si>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</si>
  <si>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</si>
  <si>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</si>
  <si>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</si>
  <si>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</si>
  <si>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</si>
  <si>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</si>
  <si>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</si>
  <si>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</si>
  <si>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</si>
  <si>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</si>
  <si>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</si>
  <si>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</si>
  <si>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</si>
  <si>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</si>
  <si>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</si>
  <si>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</si>
  <si>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</si>
  <si>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</si>
  <si>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</si>
  <si>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</si>
  <si>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</si>
  <si>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</si>
  <si>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</si>
  <si>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</si>
  <si>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</si>
  <si>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</si>
  <si>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</si>
  <si>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</si>
  <si>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</si>
  <si>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</si>
  <si>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</si>
  <si>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</si>
  <si>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</si>
  <si>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</si>
  <si>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</si>
  <si>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</si>
  <si>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</si>
  <si>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</si>
  <si>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</si>
  <si>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</si>
  <si>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</si>
  <si>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</si>
  <si>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</si>
  <si>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</si>
  <si>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</si>
  <si>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</si>
  <si>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</si>
  <si>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</si>
  <si>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</si>
  <si>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</si>
  <si>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</si>
  <si>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</si>
  <si>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</si>
  <si>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</si>
  <si>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</si>
  <si>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</si>
  <si>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</si>
  <si>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</si>
  <si>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</si>
  <si>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</si>
  <si>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</si>
  <si>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</si>
  <si>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</si>
  <si>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</si>
  <si>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</si>
  <si>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</si>
  <si>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</si>
  <si>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</si>
  <si>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</si>
  <si>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</si>
  <si>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</si>
  <si>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</si>
  <si>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</si>
  <si>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</si>
  <si>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</si>
  <si>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</si>
  <si>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</si>
  <si>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</si>
  <si>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</si>
  <si>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</si>
  <si>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</si>
  <si>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</si>
  <si>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</si>
  <si>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</si>
  <si>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</si>
  <si>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</si>
  <si>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</si>
  <si>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</si>
  <si>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</si>
  <si>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</si>
  <si>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</si>
  <si>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</si>
  <si>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</si>
  <si>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</si>
  <si>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</si>
  <si>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</si>
  <si>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</si>
  <si>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</si>
  <si>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</si>
  <si>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</si>
  <si>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</si>
  <si>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</si>
  <si>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</si>
  <si>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</si>
  <si>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</si>
  <si>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</si>
  <si>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</si>
  <si>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</si>
  <si>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</si>
  <si>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</si>
  <si>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</si>
  <si>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</si>
  <si>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</si>
  <si>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</si>
  <si>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</si>
  <si>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</si>
  <si>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</si>
  <si>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</si>
  <si>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</si>
  <si>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</si>
  <si>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</si>
  <si>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</si>
  <si>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</si>
  <si>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</si>
  <si>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</si>
  <si>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</si>
  <si>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</si>
  <si>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</si>
  <si>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</si>
  <si>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</si>
  <si>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</si>
  <si>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</si>
  <si>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</si>
  <si>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</si>
  <si>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</si>
  <si>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</si>
  <si>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</si>
  <si>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</si>
  <si>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</si>
  <si>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</si>
  <si>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</si>
  <si>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</si>
  <si>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</si>
  <si>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</si>
  <si>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</si>
  <si>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</si>
  <si>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</si>
  <si>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</si>
  <si>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</si>
  <si>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</si>
  <si>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</si>
  <si>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</si>
  <si>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</si>
  <si>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</si>
  <si>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</si>
  <si>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</si>
  <si>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</si>
  <si>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</si>
  <si>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</si>
  <si>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</si>
  <si>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</si>
  <si>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</si>
  <si>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</si>
  <si>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</si>
  <si>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</si>
  <si>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</si>
  <si>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</si>
  <si>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</si>
  <si>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</si>
  <si>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</si>
  <si>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</si>
  <si>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</si>
  <si>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</si>
  <si>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</si>
  <si>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</si>
  <si>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</si>
  <si>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</si>
  <si>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</si>
  <si>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</si>
  <si>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</si>
  <si>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</si>
  <si>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</si>
  <si>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</si>
  <si>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</si>
  <si>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</si>
  <si>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</si>
  <si>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</si>
  <si>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</si>
  <si>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</si>
  <si>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</si>
  <si>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</si>
  <si>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</si>
  <si>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</si>
  <si>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</si>
  <si>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</si>
  <si>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</si>
  <si>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</si>
  <si>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</si>
  <si>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</si>
  <si>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</si>
  <si>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</si>
  <si>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</si>
  <si>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</si>
  <si>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</si>
  <si>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</si>
  <si>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</si>
  <si>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</si>
  <si>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</si>
  <si>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</si>
  <si>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</si>
  <si>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</si>
  <si>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</si>
  <si>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</si>
  <si>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</si>
  <si>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</si>
  <si>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</si>
  <si>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</si>
  <si>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</si>
  <si>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</si>
  <si>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</si>
  <si>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</si>
  <si>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</si>
  <si>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</si>
  <si>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</si>
  <si>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</si>
  <si>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</si>
  <si>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</si>
  <si>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</si>
  <si>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</si>
  <si>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</si>
  <si>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</si>
  <si>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</si>
  <si>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</si>
  <si>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</si>
  <si>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</si>
  <si>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</si>
  <si>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</si>
  <si>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</si>
  <si>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</si>
  <si>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</si>
  <si>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</si>
  <si>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</si>
  <si>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</si>
  <si>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</si>
  <si>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</si>
  <si>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</si>
  <si>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</si>
  <si>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</si>
  <si>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</si>
  <si>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</si>
  <si>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</si>
  <si>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</si>
  <si>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</si>
  <si>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</si>
  <si>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</si>
  <si>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</si>
  <si>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</si>
  <si>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</si>
  <si>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</si>
  <si>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</si>
  <si>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</si>
  <si>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</si>
  <si>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</si>
  <si>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</si>
  <si>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</si>
  <si>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</si>
  <si>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</si>
  <si>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</si>
  <si>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</si>
  <si>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</si>
  <si>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</si>
  <si>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</si>
  <si>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</si>
  <si>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</si>
  <si>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</si>
  <si>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</si>
  <si>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</si>
  <si>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</si>
  <si>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</si>
  <si>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</si>
  <si>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</si>
  <si>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</si>
  <si>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</si>
  <si>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</si>
  <si>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</si>
  <si>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</si>
  <si>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</si>
  <si>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</si>
  <si>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</si>
  <si>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</si>
  <si>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</si>
  <si>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</si>
  <si>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</si>
  <si>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</si>
  <si>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</si>
  <si>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</si>
  <si>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</si>
  <si>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</si>
  <si>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</si>
  <si>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</si>
  <si>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</si>
  <si>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</si>
  <si>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</si>
  <si>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</si>
  <si>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</si>
  <si>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</si>
  <si>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</si>
  <si>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</si>
  <si>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</si>
  <si>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</si>
  <si>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</si>
  <si>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</si>
  <si>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</si>
  <si>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</si>
  <si>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</si>
  <si>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</si>
  <si>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</si>
  <si>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</si>
  <si>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</si>
  <si>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</si>
  <si>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</si>
  <si>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</si>
  <si>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</si>
  <si>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</si>
  <si>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</si>
  <si>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</si>
  <si>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</si>
  <si>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</si>
  <si>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</si>
  <si>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</si>
  <si>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</si>
  <si>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</si>
  <si>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</si>
  <si>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</si>
  <si>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</si>
  <si>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</si>
  <si>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</si>
  <si>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</si>
  <si>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</si>
  <si>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</si>
  <si>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</si>
  <si>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</si>
  <si>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</si>
  <si>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</si>
  <si>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</si>
  <si>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</si>
  <si>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</si>
  <si>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</si>
  <si>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</si>
  <si>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</si>
  <si>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</si>
  <si>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</si>
  <si>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</si>
  <si>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</si>
  <si>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</si>
  <si>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</si>
  <si>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</si>
  <si>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</si>
  <si>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</si>
  <si>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</si>
  <si>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</si>
  <si>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</si>
  <si>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</si>
  <si>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</si>
  <si>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</si>
  <si>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</si>
  <si>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</si>
  <si>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</si>
  <si>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</si>
  <si>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</si>
  <si>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</si>
  <si>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</si>
  <si>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</si>
  <si>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</si>
  <si>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</si>
  <si>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</si>
  <si>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</si>
  <si>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</si>
  <si>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</si>
  <si>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</si>
  <si>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</si>
  <si>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</si>
  <si>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</si>
  <si>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</si>
  <si>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</si>
  <si>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</si>
  <si>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</si>
  <si>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</si>
  <si>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</si>
  <si>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</si>
  <si>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</si>
  <si>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</si>
  <si>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</si>
  <si>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</si>
  <si>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</si>
  <si>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</si>
  <si>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</si>
  <si>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</si>
  <si>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</si>
  <si>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</si>
  <si>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</si>
  <si>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</si>
  <si>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</si>
  <si>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</si>
  <si>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</si>
  <si>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</si>
  <si>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</si>
  <si>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</si>
  <si>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</si>
  <si>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</si>
  <si>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</si>
  <si>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</si>
  <si>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</si>
  <si>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</si>
  <si>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</si>
  <si>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</si>
  <si>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</si>
  <si>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</si>
  <si>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</si>
  <si>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</si>
  <si>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</si>
  <si>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</si>
  <si>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</si>
  <si>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</si>
  <si>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</si>
  <si>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</si>
  <si>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</si>
  <si>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</si>
  <si>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</si>
  <si>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</si>
  <si>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</si>
  <si>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</si>
  <si>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</si>
  <si>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</si>
  <si>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</si>
  <si>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</si>
  <si>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</si>
  <si>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</si>
  <si>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</si>
  <si>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</si>
  <si>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</si>
  <si>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</si>
  <si>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</si>
  <si>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</si>
  <si>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</si>
  <si>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</si>
  <si>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</si>
  <si>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</si>
  <si>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</si>
  <si>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</si>
  <si>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</si>
  <si>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</si>
  <si>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</si>
  <si>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</si>
  <si>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</si>
  <si>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</si>
  <si>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</si>
  <si>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</si>
  <si>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</si>
  <si>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</si>
  <si>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</si>
  <si>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</si>
  <si>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</si>
  <si>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</si>
  <si>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</si>
  <si>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</si>
  <si>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</si>
  <si>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</si>
  <si>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</si>
  <si>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</si>
  <si>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</si>
  <si>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</si>
  <si>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</si>
  <si>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</si>
  <si>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</si>
  <si>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</si>
  <si>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</si>
  <si>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</si>
  <si>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</si>
  <si>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</si>
  <si>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</si>
  <si>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</si>
  <si>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</si>
  <si>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</si>
  <si>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</si>
  <si>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</si>
  <si>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</si>
  <si>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</si>
  <si>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</si>
  <si>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</si>
  <si>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</si>
  <si>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</si>
  <si>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</si>
  <si>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</si>
  <si>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</si>
  <si>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</si>
  <si>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</si>
  <si>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</si>
  <si>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</si>
  <si>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</si>
  <si>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</si>
  <si>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</si>
  <si>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</si>
  <si>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</si>
  <si>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</si>
  <si>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</si>
  <si>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</si>
  <si>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</si>
  <si>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</si>
  <si>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</si>
  <si>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</si>
  <si>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</si>
  <si>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</si>
  <si>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</si>
  <si>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</si>
  <si>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</si>
  <si>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</si>
  <si>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</si>
  <si>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</si>
  <si>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</si>
  <si>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</si>
  <si>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</si>
  <si>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</si>
  <si>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</si>
  <si>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</si>
  <si>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</si>
  <si>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</si>
  <si>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</si>
  <si>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</si>
  <si>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</si>
  <si>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</si>
  <si>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</si>
  <si>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</si>
  <si>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</si>
  <si>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</si>
  <si>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</si>
  <si>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</si>
  <si>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</si>
  <si>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</si>
  <si>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</si>
  <si>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</si>
  <si>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</si>
  <si>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</si>
  <si>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</si>
  <si>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</si>
  <si>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</si>
  <si>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</si>
  <si>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</si>
  <si>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</si>
  <si>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</si>
  <si>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</si>
  <si>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</si>
  <si>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</si>
  <si>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</si>
  <si>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</si>
  <si>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</si>
  <si>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</si>
  <si>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</si>
  <si>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</si>
  <si>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</si>
  <si>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</si>
  <si>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</si>
  <si>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</si>
  <si>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</si>
  <si>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</si>
  <si>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</si>
  <si>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</si>
  <si>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</si>
  <si>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</si>
  <si>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</si>
  <si>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</si>
  <si>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</si>
  <si>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</si>
  <si>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</si>
  <si>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</si>
  <si>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</si>
  <si>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</si>
  <si>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</si>
  <si>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</si>
  <si>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</si>
  <si>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</si>
  <si>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</si>
  <si>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</si>
  <si>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</si>
  <si>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</si>
  <si>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</si>
  <si>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</si>
  <si>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</si>
  <si>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</si>
  <si>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</si>
  <si>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</si>
  <si>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</si>
  <si>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</si>
  <si>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</si>
  <si>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</si>
  <si>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</si>
  <si>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</si>
  <si>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</si>
  <si>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</si>
  <si>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</si>
  <si>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</si>
  <si>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</si>
  <si>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</si>
  <si>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</si>
  <si>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</si>
  <si>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</si>
  <si>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</si>
  <si>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</si>
  <si>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</si>
  <si>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</si>
  <si>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</si>
  <si>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</si>
  <si>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</si>
  <si>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</si>
  <si>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</si>
  <si>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</si>
  <si>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</si>
  <si>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</si>
  <si>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</si>
  <si>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</si>
  <si>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</si>
  <si>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</si>
  <si>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</si>
  <si>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</si>
  <si>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</si>
  <si>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</si>
  <si>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</si>
  <si>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</si>
  <si>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</si>
  <si>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</si>
  <si>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</si>
  <si>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</si>
  <si>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</si>
  <si>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</si>
  <si>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</si>
  <si>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</si>
  <si>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</si>
  <si>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</si>
  <si>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</si>
  <si>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</si>
  <si>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</si>
  <si>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</si>
  <si>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</si>
  <si>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</si>
  <si>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</si>
  <si>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</si>
  <si>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</si>
  <si>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</si>
  <si>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</si>
  <si>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</si>
  <si>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</si>
  <si>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</si>
  <si>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</si>
  <si>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</si>
  <si>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</si>
  <si>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</si>
  <si>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</si>
  <si>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</si>
  <si>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</si>
  <si>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</si>
  <si>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</si>
  <si>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</si>
  <si>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</si>
  <si>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</si>
  <si>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</si>
  <si>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</si>
  <si>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</si>
  <si>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</si>
  <si>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</si>
  <si>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</si>
  <si>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</si>
  <si>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</si>
  <si>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</si>
  <si>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</si>
  <si>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</si>
  <si>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</si>
  <si>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</si>
  <si>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</si>
  <si>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</si>
  <si>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</si>
  <si>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</si>
  <si>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</si>
  <si>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</si>
  <si>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</si>
  <si>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</si>
  <si>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</si>
  <si>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</si>
  <si>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</si>
  <si>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</si>
  <si>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</si>
  <si>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</si>
  <si>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</si>
  <si>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</si>
  <si>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</si>
  <si>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</si>
  <si>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</si>
  <si>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</si>
  <si>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</si>
  <si>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</si>
  <si>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</si>
  <si>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</si>
  <si>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</si>
  <si>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</si>
  <si>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</si>
  <si>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</si>
  <si>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</si>
  <si>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</si>
  <si>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</si>
  <si>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</si>
  <si>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</si>
  <si>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</si>
  <si>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</si>
  <si>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</si>
  <si>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</si>
  <si>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</si>
  <si>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</si>
  <si>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</si>
  <si>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</si>
  <si>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</si>
  <si>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</si>
  <si>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</si>
  <si>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</si>
  <si>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</si>
  <si>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</si>
  <si>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</si>
  <si>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</si>
  <si>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</si>
  <si>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</si>
  <si>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</si>
  <si>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</si>
  <si>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</si>
  <si>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</si>
  <si>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</si>
  <si>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</si>
  <si>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</si>
  <si>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</si>
  <si>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</si>
  <si>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</si>
  <si>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</si>
  <si>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</si>
  <si>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</si>
  <si>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</si>
  <si>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</si>
  <si>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</si>
  <si>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</si>
  <si>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</si>
  <si>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</si>
  <si>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</si>
  <si>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</si>
  <si>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</si>
  <si>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</si>
  <si>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</si>
  <si>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</si>
  <si>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</si>
  <si>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</si>
  <si>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</si>
  <si>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</si>
  <si>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</si>
  <si>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</si>
  <si>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</si>
  <si>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</si>
  <si>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</si>
  <si>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</si>
  <si>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</si>
  <si>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</si>
  <si>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</si>
  <si>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</si>
  <si>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</si>
  <si>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</si>
  <si>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</si>
  <si>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</si>
  <si>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</si>
  <si>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</si>
  <si>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</si>
  <si>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</si>
  <si>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</si>
  <si>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</si>
  <si>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</si>
  <si>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</si>
  <si>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</si>
  <si>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</si>
  <si>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</si>
  <si>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</si>
  <si>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</si>
  <si>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</si>
  <si>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</si>
  <si>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</si>
  <si>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</si>
  <si>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</si>
  <si>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</si>
  <si>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</si>
  <si>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</si>
  <si>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</si>
  <si>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</si>
  <si>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</si>
  <si>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</si>
  <si>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</si>
  <si>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</si>
  <si>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</si>
  <si>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</si>
  <si>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</si>
  <si>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</si>
  <si>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</si>
  <si>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</si>
  <si>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</si>
  <si>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</si>
  <si>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</si>
  <si>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</si>
  <si>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</si>
  <si>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</si>
  <si>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</si>
  <si>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</si>
  <si>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</si>
  <si>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</si>
  <si>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</si>
  <si>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</si>
  <si>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</si>
  <si>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</si>
  <si>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</si>
  <si>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</si>
  <si>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</si>
  <si>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</si>
  <si>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</si>
  <si>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</si>
  <si>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</si>
  <si>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</si>
  <si>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</si>
  <si>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</si>
  <si>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</si>
  <si>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</si>
  <si>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</si>
  <si>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</si>
  <si>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</si>
  <si>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</si>
  <si>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</si>
  <si>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</si>
  <si>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</si>
  <si>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</si>
  <si>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</si>
  <si>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</si>
  <si>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</si>
  <si>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</si>
  <si>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</si>
  <si>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</si>
  <si>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</si>
  <si>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</si>
  <si>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</si>
  <si>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</si>
  <si>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</si>
  <si>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</si>
  <si>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</si>
  <si>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</si>
  <si>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</si>
  <si>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</si>
  <si>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</si>
  <si>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</si>
  <si>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</si>
  <si>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</si>
  <si>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</si>
  <si>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</si>
  <si>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</si>
  <si>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</si>
  <si>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</si>
  <si>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</si>
  <si>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</si>
  <si>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</si>
  <si>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</si>
  <si>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</si>
  <si>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</si>
  <si>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</si>
  <si>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</si>
  <si>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</si>
  <si>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</si>
  <si>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</si>
  <si>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</si>
  <si>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</si>
  <si>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</si>
  <si>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</si>
  <si>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</si>
  <si>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</si>
  <si>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</si>
  <si>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</si>
  <si>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</si>
  <si>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</si>
  <si>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</si>
  <si>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</si>
  <si>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</si>
  <si>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</si>
  <si>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</si>
  <si>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</si>
  <si>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</si>
  <si>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</si>
  <si>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</si>
  <si>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</si>
  <si>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</si>
  <si>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</si>
  <si>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</si>
  <si>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</si>
  <si>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</si>
  <si>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</si>
  <si>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</si>
  <si>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</si>
  <si>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</si>
  <si>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</si>
  <si>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</si>
  <si>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</si>
  <si>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</si>
  <si>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</si>
  <si>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</si>
  <si>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</si>
  <si>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</si>
  <si>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</si>
  <si>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</si>
  <si>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</si>
  <si>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</si>
  <si>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</si>
  <si>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</si>
  <si>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</si>
  <si>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</si>
  <si>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</si>
  <si>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</si>
  <si>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</si>
  <si>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</si>
  <si>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</si>
  <si>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</si>
  <si>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</si>
  <si>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</si>
  <si>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</si>
  <si>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</si>
  <si>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</si>
  <si>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</si>
  <si>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</si>
  <si>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</si>
  <si>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</si>
  <si>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</si>
  <si>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</si>
  <si>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</si>
  <si>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</si>
  <si>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</si>
  <si>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</si>
  <si>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</si>
  <si>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</si>
  <si>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</si>
  <si>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</si>
  <si>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</si>
  <si>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</si>
  <si>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</si>
  <si>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</si>
  <si>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</si>
  <si>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</si>
  <si>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</si>
  <si>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</si>
  <si>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</si>
  <si>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</si>
  <si>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</si>
  <si>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</si>
  <si>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</si>
  <si>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</si>
  <si>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</si>
  <si>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</si>
  <si>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</si>
  <si>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</si>
  <si>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</si>
  <si>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</si>
  <si>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</si>
  <si>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</si>
  <si>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</si>
  <si>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</si>
  <si>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</si>
  <si>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</si>
  <si>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</si>
  <si>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</si>
  <si>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</si>
  <si>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</si>
  <si>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</si>
  <si>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</si>
  <si>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</si>
  <si>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</si>
  <si>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</si>
  <si>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</si>
  <si>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</si>
  <si>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</si>
  <si>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</si>
  <si>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</si>
  <si>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</si>
  <si>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</si>
  <si>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</si>
  <si>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</si>
  <si>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</si>
  <si>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</si>
  <si>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</si>
  <si>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</si>
  <si>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</si>
  <si>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</si>
  <si>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</si>
  <si>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</si>
  <si>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</si>
  <si>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</si>
  <si>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</si>
  <si>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</si>
  <si>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</si>
  <si>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</si>
  <si>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</si>
  <si>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</si>
  <si>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</si>
  <si>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</si>
  <si>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</si>
  <si>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</si>
  <si>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</si>
  <si>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</si>
  <si>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</si>
  <si>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</si>
  <si>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</si>
  <si>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</si>
  <si>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</si>
  <si>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</si>
  <si>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</si>
  <si>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</si>
  <si>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</si>
  <si>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</si>
  <si>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</si>
  <si>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</si>
  <si>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</si>
  <si>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</si>
  <si>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</si>
  <si>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</si>
  <si>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</si>
  <si>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</si>
  <si>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</si>
  <si>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</si>
  <si>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</si>
  <si>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</si>
  <si>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</si>
  <si>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</si>
  <si>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</si>
  <si>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</si>
  <si>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</si>
  <si>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</si>
  <si>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</si>
  <si>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</si>
  <si>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</si>
  <si>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</si>
  <si>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</si>
  <si>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</si>
  <si>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</si>
  <si>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</si>
  <si>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</si>
  <si>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</si>
  <si>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</si>
  <si>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</si>
  <si>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</si>
  <si>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</si>
  <si>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</si>
  <si>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</si>
  <si>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</si>
  <si>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</si>
  <si>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</si>
  <si>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</si>
  <si>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</si>
  <si>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</si>
  <si>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</si>
  <si>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</si>
  <si>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</si>
  <si>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</si>
  <si>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</si>
  <si>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</si>
  <si>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</si>
  <si>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</si>
  <si>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</si>
  <si>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</si>
  <si>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</si>
  <si>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</si>
  <si>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</si>
  <si>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</si>
  <si>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</si>
  <si>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</si>
  <si>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</si>
  <si>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</si>
  <si>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</si>
  <si>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</si>
  <si>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</si>
  <si>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</si>
  <si>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</si>
  <si>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</si>
  <si>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</si>
  <si>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</si>
  <si>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</si>
  <si>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</si>
  <si>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</si>
  <si>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</si>
  <si>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</si>
  <si>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</si>
  <si>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</si>
  <si>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</si>
  <si>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</si>
  <si>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</si>
  <si>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</si>
  <si>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</si>
  <si>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</si>
  <si>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</si>
  <si>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</si>
  <si>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</si>
  <si>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</si>
  <si>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</si>
  <si>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</si>
  <si>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</si>
  <si>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</si>
  <si>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</si>
  <si>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</si>
  <si>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</si>
  <si>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</si>
  <si>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</si>
  <si>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</si>
  <si>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</si>
  <si>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</si>
  <si>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</si>
  <si>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</si>
  <si>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</si>
  <si>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</si>
  <si>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</si>
  <si>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</si>
  <si>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</si>
  <si>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</si>
  <si>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</si>
  <si>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</si>
  <si>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</si>
  <si>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</si>
  <si>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</si>
  <si>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</si>
  <si>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</si>
  <si>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</si>
  <si>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</si>
  <si>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</si>
  <si>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</si>
  <si>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</si>
  <si>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</si>
  <si>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</si>
  <si>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</si>
  <si>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</si>
  <si>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</si>
  <si>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</si>
  <si>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</si>
  <si>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</si>
  <si>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</si>
  <si>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</si>
  <si>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</si>
  <si>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</si>
  <si>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</si>
  <si>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</si>
  <si>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</si>
  <si>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</si>
  <si>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</si>
  <si>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</si>
  <si>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</si>
  <si>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</si>
  <si>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</si>
  <si>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</si>
  <si>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</si>
  <si>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</si>
  <si>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</si>
  <si>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</si>
  <si>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</si>
  <si>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</si>
  <si>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</si>
  <si>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</si>
  <si>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</si>
  <si>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</si>
  <si>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</si>
  <si>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</si>
  <si>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</si>
  <si>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</si>
  <si>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</si>
  <si>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</si>
  <si>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</si>
  <si>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</si>
  <si>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</si>
  <si>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</si>
  <si>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</si>
  <si>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</si>
  <si>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</si>
  <si>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</si>
  <si>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</si>
  <si>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</si>
  <si>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</si>
  <si>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</si>
  <si>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</si>
  <si>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</si>
  <si>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</si>
  <si>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</si>
  <si>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</si>
  <si>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</si>
  <si>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</si>
  <si>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</si>
  <si>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</si>
  <si>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</si>
  <si>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</si>
  <si>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</si>
  <si>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</si>
  <si>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</si>
  <si>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</si>
  <si>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</si>
  <si>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</si>
  <si>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</si>
  <si>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</si>
  <si>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</si>
  <si>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</si>
  <si>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</si>
  <si>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</si>
  <si>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</si>
  <si>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</si>
  <si>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</si>
  <si>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</si>
  <si>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</si>
  <si>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</si>
  <si>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</si>
  <si>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</si>
  <si>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</si>
  <si>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</si>
  <si>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</si>
  <si>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</si>
  <si>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</si>
  <si>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</si>
  <si>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</si>
  <si>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</si>
  <si>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</si>
  <si>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</si>
  <si>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</si>
  <si>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</si>
  <si>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</si>
  <si>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</si>
  <si>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</si>
  <si>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</si>
  <si>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</si>
  <si>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</si>
  <si>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</si>
  <si>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</si>
  <si>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</si>
  <si>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</si>
  <si>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</si>
  <si>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</si>
  <si>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</si>
  <si>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</si>
  <si>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</si>
  <si>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</si>
  <si>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</si>
  <si>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</si>
  <si>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</si>
  <si>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</si>
  <si>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</si>
  <si>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</si>
  <si>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</si>
  <si>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</si>
  <si>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</si>
  <si>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</si>
  <si>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</si>
  <si>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</si>
  <si>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</si>
  <si>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</si>
  <si>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</si>
  <si>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</si>
  <si>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</si>
  <si>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</si>
  <si>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</si>
  <si>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</si>
  <si>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</si>
  <si>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</si>
  <si>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</si>
  <si>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</si>
  <si>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</si>
  <si>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</si>
  <si>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</si>
  <si>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</si>
  <si>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</si>
  <si>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</si>
  <si>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</si>
  <si>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</si>
  <si>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</si>
  <si>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</si>
  <si>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</si>
  <si>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</si>
  <si>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</si>
  <si>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</si>
  <si>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</si>
  <si>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</si>
  <si>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</si>
  <si>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</si>
  <si>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</si>
  <si>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</si>
  <si>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</si>
  <si>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</si>
  <si>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</si>
  <si>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</si>
  <si>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</si>
  <si>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</si>
  <si>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</si>
  <si>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</si>
  <si>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</si>
  <si>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</si>
  <si>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</si>
  <si>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</si>
  <si>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</si>
  <si>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</si>
  <si>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</si>
  <si>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</si>
  <si>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</si>
  <si>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</si>
  <si>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</si>
  <si>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</si>
  <si>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</si>
  <si>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</si>
  <si>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</si>
  <si>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</si>
  <si>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</si>
  <si>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</si>
  <si>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</si>
  <si>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</si>
  <si>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</si>
  <si>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</si>
  <si>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</si>
  <si>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</si>
  <si>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</si>
  <si>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</si>
  <si>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</si>
  <si>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</si>
  <si>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</si>
  <si>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</si>
  <si>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</si>
  <si>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</si>
  <si>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</si>
  <si>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</si>
  <si>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</si>
  <si>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</si>
  <si>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</si>
  <si>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</si>
  <si>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</si>
  <si>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</si>
  <si>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</si>
  <si>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</si>
  <si>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</si>
  <si>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</si>
  <si>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</si>
  <si>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</si>
  <si>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</si>
  <si>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</si>
  <si>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</si>
  <si>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</si>
  <si>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</si>
  <si>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</si>
  <si>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</si>
  <si>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</si>
  <si>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</si>
  <si>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</si>
  <si>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</si>
  <si>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</si>
  <si>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</si>
  <si>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</si>
  <si>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</si>
  <si>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</si>
  <si>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</si>
  <si>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</si>
  <si>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</si>
  <si>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</si>
  <si>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</si>
  <si>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</si>
  <si>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</si>
  <si>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</si>
  <si>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</si>
  <si>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</si>
  <si>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</si>
  <si>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</si>
  <si>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</si>
  <si>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</si>
  <si>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</si>
  <si>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</si>
  <si>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</si>
  <si>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</si>
  <si>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</si>
  <si>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</si>
  <si>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</si>
  <si>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</si>
  <si>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</si>
  <si>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</si>
  <si>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</si>
  <si>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</si>
  <si>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</si>
  <si>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</si>
  <si>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</si>
  <si>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</si>
  <si>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</si>
  <si>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</si>
  <si>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</si>
  <si>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</si>
  <si>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</si>
  <si>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</si>
  <si>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</si>
  <si>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</si>
  <si>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</si>
  <si>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</si>
  <si>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</si>
  <si>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</si>
  <si>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</si>
  <si>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</si>
  <si>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</si>
  <si>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</si>
  <si>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</si>
  <si>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</si>
  <si>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</si>
  <si>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</si>
  <si>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</si>
  <si>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</si>
  <si>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</si>
  <si>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</si>
  <si>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</si>
  <si>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</si>
  <si>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</si>
  <si>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</si>
  <si>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</si>
  <si>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</si>
  <si>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</si>
  <si>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</si>
  <si>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</si>
  <si>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</si>
  <si>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</si>
  <si>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</si>
  <si>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</si>
  <si>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</si>
  <si>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</si>
  <si>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</si>
  <si>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</si>
  <si>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</si>
  <si>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</si>
  <si>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</si>
  <si>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</si>
  <si>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</si>
  <si>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</si>
  <si>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</si>
  <si>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</si>
  <si>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</si>
  <si>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</si>
  <si>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</si>
  <si>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</si>
  <si>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</si>
  <si>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</si>
  <si>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</si>
  <si>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</si>
  <si>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</si>
  <si>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</si>
  <si>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</si>
  <si>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</si>
  <si>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</si>
  <si>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</si>
  <si>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</si>
  <si>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</si>
  <si>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</si>
  <si>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</si>
  <si>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</si>
  <si>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</si>
  <si>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</si>
  <si>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</si>
  <si>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</si>
  <si>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</si>
  <si>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</si>
  <si>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</si>
  <si>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</si>
  <si>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</si>
  <si>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</si>
  <si>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</si>
  <si>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</si>
  <si>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</si>
  <si>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</si>
  <si>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</si>
  <si>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</si>
  <si>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</si>
  <si>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</si>
  <si>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</si>
  <si>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</si>
  <si>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</si>
  <si>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</si>
  <si>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</si>
  <si>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</si>
  <si>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</si>
  <si>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</si>
  <si>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</si>
  <si>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</si>
  <si>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</si>
  <si>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</si>
  <si>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</si>
  <si>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</si>
  <si>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</si>
  <si>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</si>
  <si>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</si>
  <si>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</si>
  <si>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</si>
  <si>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</si>
  <si>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</si>
  <si>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</si>
  <si>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</si>
  <si>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</si>
  <si>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</si>
  <si>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</si>
  <si>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</si>
  <si>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</si>
  <si>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</si>
  <si>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</si>
  <si>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</si>
  <si>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</si>
  <si>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</si>
  <si>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</si>
  <si>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</si>
  <si>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</si>
  <si>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</si>
  <si>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</si>
  <si>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</si>
  <si>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</si>
  <si>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</si>
  <si>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</si>
  <si>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</si>
  <si>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</si>
  <si>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</si>
  <si>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</si>
  <si>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</si>
  <si>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</si>
  <si>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</si>
  <si>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</si>
  <si>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</si>
  <si>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</si>
  <si>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</si>
  <si>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</si>
  <si>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</si>
  <si>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</si>
  <si>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</si>
  <si>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</si>
  <si>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</si>
  <si>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</si>
  <si>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</si>
  <si>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</si>
  <si>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</si>
  <si>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</si>
  <si>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</si>
  <si>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</si>
  <si>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</si>
  <si>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</si>
  <si>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</si>
  <si>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</si>
  <si>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</si>
  <si>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</si>
  <si>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</si>
  <si>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</si>
  <si>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</si>
  <si>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</si>
  <si>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</si>
  <si>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</si>
  <si>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</si>
  <si>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</si>
  <si>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</si>
  <si>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</si>
  <si>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</si>
  <si>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</si>
  <si>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</si>
  <si>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</si>
  <si>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</si>
  <si>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</si>
  <si>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</si>
  <si>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</si>
  <si>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</si>
  <si>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</si>
  <si>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</si>
  <si>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</si>
  <si>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</si>
  <si>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</si>
  <si>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</si>
  <si>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</si>
  <si>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</si>
  <si>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</si>
  <si>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</si>
  <si>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</si>
  <si>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</si>
  <si>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</si>
  <si>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</si>
  <si>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</si>
  <si>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</si>
  <si>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</si>
  <si>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</si>
  <si>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</si>
  <si>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</si>
  <si>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</si>
  <si>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</si>
  <si>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</si>
  <si>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</si>
  <si>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</si>
  <si>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</si>
  <si>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</si>
  <si>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</si>
  <si>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</si>
  <si>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</si>
  <si>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</si>
  <si>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</si>
  <si>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</si>
  <si>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</si>
  <si>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</si>
  <si>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</si>
  <si>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</si>
  <si>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</si>
  <si>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</si>
  <si>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</si>
  <si>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</si>
  <si>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</si>
  <si>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</si>
  <si>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</si>
  <si>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</si>
  <si>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</si>
  <si>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</si>
  <si>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</si>
  <si>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</si>
  <si>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</si>
  <si>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</si>
  <si>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</si>
  <si>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</si>
  <si>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</si>
  <si>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</si>
  <si>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</si>
  <si>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</si>
  <si>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</si>
  <si>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</si>
  <si>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</si>
  <si>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</si>
  <si>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</si>
  <si>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</si>
  <si>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</si>
  <si>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</si>
  <si>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</si>
  <si>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</si>
  <si>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</si>
  <si>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</si>
  <si>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</si>
  <si>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</si>
  <si>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</si>
  <si>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</si>
  <si>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</si>
  <si>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</si>
  <si>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</si>
  <si>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</si>
  <si>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</si>
  <si>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</si>
  <si>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</si>
  <si>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</si>
  <si>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</si>
  <si>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</si>
  <si>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</si>
  <si>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</si>
  <si>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</si>
  <si>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</si>
  <si>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</si>
  <si>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名称</t>
    <phoneticPr fontId="225" type="noConversion"/>
  </si>
  <si>
    <r>
      <t>1</t>
    </r>
    <r>
      <rPr>
        <sz val="11"/>
        <color theme="1"/>
        <rFont val="宋体"/>
        <family val="3"/>
        <charset val="134"/>
        <scheme val="minor"/>
      </rPr>
      <t>#生产用房</t>
    </r>
    <phoneticPr fontId="225" type="noConversion"/>
  </si>
  <si>
    <r>
      <t>2</t>
    </r>
    <r>
      <rPr>
        <sz val="11"/>
        <color theme="1"/>
        <rFont val="宋体"/>
        <family val="3"/>
        <charset val="134"/>
        <scheme val="minor"/>
      </rPr>
      <t>#生产用房</t>
    </r>
    <phoneticPr fontId="225" type="noConversion"/>
  </si>
  <si>
    <r>
      <t>3#生产用房</t>
    </r>
    <r>
      <rPr>
        <sz val="11"/>
        <color theme="1"/>
        <rFont val="宋体"/>
        <family val="3"/>
        <charset val="134"/>
        <scheme val="minor"/>
      </rPr>
      <t/>
    </r>
  </si>
  <si>
    <r>
      <t>4#生产用房</t>
    </r>
    <r>
      <rPr>
        <sz val="11"/>
        <color theme="1"/>
        <rFont val="宋体"/>
        <family val="3"/>
        <charset val="134"/>
        <scheme val="minor"/>
      </rPr>
      <t/>
    </r>
  </si>
  <si>
    <r>
      <t>5#生产用房</t>
    </r>
    <r>
      <rPr>
        <sz val="11"/>
        <color theme="1"/>
        <rFont val="宋体"/>
        <family val="3"/>
        <charset val="134"/>
        <scheme val="minor"/>
      </rPr>
      <t/>
    </r>
  </si>
  <si>
    <r>
      <t>6#生产用房</t>
    </r>
    <r>
      <rPr>
        <sz val="11"/>
        <color theme="1"/>
        <rFont val="宋体"/>
        <family val="3"/>
        <charset val="134"/>
        <scheme val="minor"/>
      </rPr>
      <t/>
    </r>
  </si>
  <si>
    <r>
      <t>7#生产用房</t>
    </r>
    <r>
      <rPr>
        <sz val="11"/>
        <color theme="1"/>
        <rFont val="宋体"/>
        <family val="3"/>
        <charset val="134"/>
        <scheme val="minor"/>
      </rPr>
      <t/>
    </r>
  </si>
  <si>
    <r>
      <t>8#生产用房</t>
    </r>
    <r>
      <rPr>
        <sz val="11"/>
        <color theme="1"/>
        <rFont val="宋体"/>
        <family val="3"/>
        <charset val="134"/>
        <scheme val="minor"/>
      </rPr>
      <t/>
    </r>
  </si>
  <si>
    <r>
      <t>9#生产用房</t>
    </r>
    <r>
      <rPr>
        <sz val="11"/>
        <color theme="1"/>
        <rFont val="宋体"/>
        <family val="3"/>
        <charset val="134"/>
        <scheme val="minor"/>
      </rPr>
      <t/>
    </r>
  </si>
  <si>
    <r>
      <t>10#生产用房</t>
    </r>
    <r>
      <rPr>
        <sz val="11"/>
        <color theme="1"/>
        <rFont val="宋体"/>
        <family val="3"/>
        <charset val="134"/>
        <scheme val="minor"/>
      </rPr>
      <t/>
    </r>
  </si>
  <si>
    <t>11#办公楼</t>
    <phoneticPr fontId="225" type="noConversion"/>
  </si>
  <si>
    <t>12#办公楼</t>
    <phoneticPr fontId="225" type="noConversion"/>
  </si>
  <si>
    <t>总建筑面积</t>
    <phoneticPr fontId="225" type="noConversion"/>
  </si>
  <si>
    <t>层数</t>
    <phoneticPr fontId="225" type="noConversion"/>
  </si>
  <si>
    <r>
      <t>9（</t>
    </r>
    <r>
      <rPr>
        <sz val="11"/>
        <color theme="1"/>
        <rFont val="宋体"/>
        <family val="3"/>
        <charset val="134"/>
        <scheme val="minor"/>
      </rPr>
      <t>-1）</t>
    </r>
    <phoneticPr fontId="225" type="noConversion"/>
  </si>
  <si>
    <t>10（-1）</t>
    <phoneticPr fontId="225" type="noConversion"/>
  </si>
  <si>
    <t>6（-1）</t>
    <phoneticPr fontId="225" type="noConversion"/>
  </si>
  <si>
    <t>地上</t>
  </si>
  <si>
    <t>地上</t>
    <phoneticPr fontId="225" type="noConversion"/>
  </si>
  <si>
    <t>地下</t>
    <phoneticPr fontId="225" type="noConversion"/>
  </si>
  <si>
    <t>车库</t>
    <phoneticPr fontId="225" type="noConversion"/>
  </si>
  <si>
    <t>地上总建筑面积</t>
    <phoneticPr fontId="225" type="noConversion"/>
  </si>
  <si>
    <t>地下车库1#楼梯室外出入口</t>
    <phoneticPr fontId="225" type="noConversion"/>
  </si>
  <si>
    <t>其中</t>
    <phoneticPr fontId="225" type="noConversion"/>
  </si>
  <si>
    <t>高压分界室</t>
    <phoneticPr fontId="225" type="noConversion"/>
  </si>
  <si>
    <r>
      <t>1</t>
    </r>
    <r>
      <rPr>
        <sz val="11"/>
        <color theme="1"/>
        <rFont val="宋体"/>
        <family val="3"/>
        <charset val="134"/>
        <scheme val="minor"/>
      </rPr>
      <t>#人防主要出入口及通道</t>
    </r>
    <phoneticPr fontId="225" type="noConversion"/>
  </si>
  <si>
    <t>人防管理用房</t>
    <phoneticPr fontId="225" type="noConversion"/>
  </si>
  <si>
    <t>地下总建筑面积</t>
    <phoneticPr fontId="225" type="noConversion"/>
  </si>
  <si>
    <t>汽车库</t>
    <phoneticPr fontId="225" type="noConversion"/>
  </si>
  <si>
    <t>人防（平时汽车库）</t>
    <phoneticPr fontId="225" type="noConversion"/>
  </si>
  <si>
    <t>设备用房</t>
    <phoneticPr fontId="225" type="noConversion"/>
  </si>
  <si>
    <t>高压分界室夹层</t>
    <phoneticPr fontId="225" type="noConversion"/>
  </si>
  <si>
    <t>1#人防主要出入口及通道</t>
  </si>
  <si>
    <t>小计</t>
    <phoneticPr fontId="225" type="noConversion"/>
  </si>
  <si>
    <t>市场价格</t>
  </si>
  <si>
    <t>企业</t>
  </si>
  <si>
    <t>商业</t>
  </si>
  <si>
    <t>Ⅵ-空港B</t>
  </si>
  <si>
    <t>商业</t>
    <phoneticPr fontId="7" type="noConversion"/>
  </si>
  <si>
    <t>公寓面积</t>
    <phoneticPr fontId="225" type="noConversion"/>
  </si>
  <si>
    <t>平方米</t>
    <phoneticPr fontId="225" type="noConversion"/>
  </si>
  <si>
    <t>商业面积</t>
    <phoneticPr fontId="225" type="noConversion"/>
  </si>
  <si>
    <t>停车位面积</t>
    <phoneticPr fontId="225" type="noConversion"/>
  </si>
  <si>
    <t>小计</t>
    <phoneticPr fontId="225" type="noConversion"/>
  </si>
  <si>
    <t>地上建筑面积减少，面积调整幅度不超3%，不涉及评估</t>
    <phoneticPr fontId="225" type="noConversion"/>
  </si>
  <si>
    <t>土地面积</t>
    <phoneticPr fontId="225" type="noConversion"/>
  </si>
  <si>
    <t>地上容积率</t>
    <phoneticPr fontId="225" type="noConversion"/>
  </si>
  <si>
    <t>用地项目</t>
    <phoneticPr fontId="225" type="noConversion"/>
  </si>
  <si>
    <r>
      <rPr>
        <sz val="11"/>
        <color theme="1"/>
        <rFont val="宋体"/>
        <family val="3"/>
        <charset val="134"/>
      </rPr>
      <t>项目名称</t>
    </r>
    <phoneticPr fontId="225" type="noConversion"/>
  </si>
  <si>
    <r>
      <rPr>
        <sz val="11"/>
        <color theme="1"/>
        <rFont val="宋体"/>
        <family val="3"/>
        <charset val="134"/>
      </rPr>
      <t>有巢泗泾项目</t>
    </r>
    <phoneticPr fontId="225" type="noConversion"/>
  </si>
  <si>
    <r>
      <rPr>
        <sz val="11"/>
        <color theme="1"/>
        <rFont val="宋体"/>
        <family val="3"/>
        <charset val="134"/>
      </rPr>
      <t>有巢东部经开区项目</t>
    </r>
    <phoneticPr fontId="225" type="noConversion"/>
  </si>
  <si>
    <r>
      <rPr>
        <sz val="11"/>
        <color theme="1"/>
        <rFont val="宋体"/>
        <family val="3"/>
        <charset val="134"/>
      </rPr>
      <t>所在地</t>
    </r>
    <phoneticPr fontId="225" type="noConversion"/>
  </si>
  <si>
    <r>
      <rPr>
        <sz val="11"/>
        <color theme="1"/>
        <rFont val="宋体"/>
        <family val="3"/>
        <charset val="134"/>
      </rPr>
      <t>上海市松江区</t>
    </r>
    <phoneticPr fontId="225" type="noConversion"/>
  </si>
  <si>
    <r>
      <rPr>
        <sz val="11"/>
        <color theme="1"/>
        <rFont val="宋体"/>
        <family val="3"/>
        <charset val="134"/>
      </rPr>
      <t>权利类型</t>
    </r>
    <phoneticPr fontId="225" type="noConversion"/>
  </si>
  <si>
    <r>
      <rPr>
        <sz val="11"/>
        <color theme="1"/>
        <rFont val="宋体"/>
        <family val="3"/>
        <charset val="134"/>
      </rPr>
      <t>权利性质</t>
    </r>
    <phoneticPr fontId="225" type="noConversion"/>
  </si>
  <si>
    <r>
      <rPr>
        <sz val="11"/>
        <color theme="1"/>
        <rFont val="宋体"/>
        <family val="3"/>
        <charset val="134"/>
      </rPr>
      <t>出让</t>
    </r>
    <phoneticPr fontId="225" type="noConversion"/>
  </si>
  <si>
    <r>
      <rPr>
        <sz val="11"/>
        <color theme="1"/>
        <rFont val="宋体"/>
        <family val="3"/>
        <charset val="134"/>
      </rPr>
      <t>用地性质</t>
    </r>
    <phoneticPr fontId="225" type="noConversion"/>
  </si>
  <si>
    <r>
      <rPr>
        <sz val="11"/>
        <color theme="1"/>
        <rFont val="宋体"/>
        <family val="3"/>
        <charset val="134"/>
      </rPr>
      <t>使用期限</t>
    </r>
    <phoneticPr fontId="225" type="noConversion"/>
  </si>
  <si>
    <r>
      <rPr>
        <sz val="11"/>
        <color theme="1"/>
        <rFont val="宋体"/>
        <family val="3"/>
        <charset val="134"/>
      </rPr>
      <t>集体建设用地使用权</t>
    </r>
    <r>
      <rPr>
        <sz val="11"/>
        <color theme="1"/>
        <rFont val="Arial"/>
        <family val="2"/>
      </rPr>
      <t>/</t>
    </r>
    <r>
      <rPr>
        <sz val="11"/>
        <color theme="1"/>
        <rFont val="宋体"/>
        <family val="3"/>
        <charset val="134"/>
      </rPr>
      <t>房屋所有权</t>
    </r>
    <phoneticPr fontId="225" type="noConversion"/>
  </si>
  <si>
    <r>
      <rPr>
        <sz val="11"/>
        <color theme="1"/>
        <rFont val="宋体"/>
        <family val="3"/>
        <charset val="134"/>
      </rPr>
      <t>租赁住房（</t>
    </r>
    <r>
      <rPr>
        <sz val="11"/>
        <color theme="1"/>
        <rFont val="Arial"/>
        <family val="2"/>
      </rPr>
      <t>R4</t>
    </r>
    <r>
      <rPr>
        <sz val="11"/>
        <color theme="1"/>
        <rFont val="宋体"/>
        <family val="3"/>
        <charset val="134"/>
      </rPr>
      <t>）</t>
    </r>
    <phoneticPr fontId="225" type="noConversion"/>
  </si>
  <si>
    <r>
      <t>2018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3</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12</t>
    </r>
    <r>
      <rPr>
        <sz val="11"/>
        <color theme="1"/>
        <rFont val="宋体"/>
        <family val="3"/>
        <charset val="134"/>
      </rPr>
      <t>月</t>
    </r>
    <r>
      <rPr>
        <sz val="11"/>
        <color theme="1"/>
        <rFont val="Arial"/>
        <family val="2"/>
      </rPr>
      <t>2</t>
    </r>
    <r>
      <rPr>
        <sz val="11"/>
        <color theme="1"/>
        <rFont val="宋体"/>
        <family val="3"/>
        <charset val="134"/>
      </rPr>
      <t>日止</t>
    </r>
    <phoneticPr fontId="225" type="noConversion"/>
  </si>
  <si>
    <r>
      <t>2018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18</t>
    </r>
    <r>
      <rPr>
        <sz val="11"/>
        <color theme="1"/>
        <rFont val="宋体"/>
        <family val="3"/>
        <charset val="134"/>
      </rPr>
      <t>日起至</t>
    </r>
    <r>
      <rPr>
        <sz val="11"/>
        <color theme="1"/>
        <rFont val="Arial"/>
        <family val="2"/>
      </rPr>
      <t>2088</t>
    </r>
    <r>
      <rPr>
        <sz val="11"/>
        <color theme="1"/>
        <rFont val="宋体"/>
        <family val="3"/>
        <charset val="134"/>
      </rPr>
      <t>年</t>
    </r>
    <r>
      <rPr>
        <sz val="11"/>
        <color theme="1"/>
        <rFont val="Arial"/>
        <family val="2"/>
      </rPr>
      <t>10</t>
    </r>
    <r>
      <rPr>
        <sz val="11"/>
        <color theme="1"/>
        <rFont val="宋体"/>
        <family val="3"/>
        <charset val="134"/>
      </rPr>
      <t>月</t>
    </r>
    <r>
      <rPr>
        <sz val="11"/>
        <color theme="1"/>
        <rFont val="Arial"/>
        <family val="2"/>
      </rPr>
      <t>17</t>
    </r>
    <r>
      <rPr>
        <sz val="11"/>
        <color theme="1"/>
        <rFont val="宋体"/>
        <family val="3"/>
        <charset val="134"/>
      </rPr>
      <t>日止</t>
    </r>
    <phoneticPr fontId="225" type="noConversion"/>
  </si>
  <si>
    <t>工业</t>
    <phoneticPr fontId="225" type="noConversion"/>
  </si>
  <si>
    <t>车库</t>
  </si>
  <si>
    <t>车库</t>
    <phoneticPr fontId="225" type="noConversion"/>
  </si>
  <si>
    <t>公寓</t>
  </si>
  <si>
    <t>公寓</t>
    <phoneticPr fontId="225" type="noConversion"/>
  </si>
  <si>
    <t>商业</t>
    <phoneticPr fontId="225" type="noConversion"/>
  </si>
  <si>
    <t>调整前</t>
    <phoneticPr fontId="225" type="noConversion"/>
  </si>
  <si>
    <t>调整后</t>
    <phoneticPr fontId="225" type="noConversion"/>
  </si>
  <si>
    <t>工业</t>
    <phoneticPr fontId="225" type="noConversion"/>
  </si>
  <si>
    <t>商业</t>
    <phoneticPr fontId="225" type="noConversion"/>
  </si>
  <si>
    <t>公寓</t>
    <phoneticPr fontId="225" type="noConversion"/>
  </si>
  <si>
    <t>——</t>
    <phoneticPr fontId="225" type="noConversion"/>
  </si>
  <si>
    <t>容积率</t>
    <phoneticPr fontId="225" type="noConversion"/>
  </si>
  <si>
    <t>建筑物面积</t>
    <phoneticPr fontId="225" type="noConversion"/>
  </si>
  <si>
    <t>规划指标</t>
    <phoneticPr fontId="225" type="noConversion"/>
  </si>
  <si>
    <t>土地级别</t>
    <phoneticPr fontId="225" type="noConversion"/>
  </si>
  <si>
    <t>区片编号</t>
    <phoneticPr fontId="225" type="noConversion"/>
  </si>
  <si>
    <t>适用的楼面熟地价（元/㎡）</t>
    <phoneticPr fontId="225" type="noConversion"/>
  </si>
  <si>
    <t>六级</t>
    <phoneticPr fontId="225" type="noConversion"/>
  </si>
  <si>
    <t>住宅（保障性）</t>
    <phoneticPr fontId="225" type="noConversion"/>
  </si>
  <si>
    <t>用途</t>
    <phoneticPr fontId="225" type="noConversion"/>
  </si>
  <si>
    <t>方法</t>
    <phoneticPr fontId="225" type="noConversion"/>
  </si>
  <si>
    <t>修正后熟地价（元/㎡）</t>
    <phoneticPr fontId="225" type="noConversion"/>
  </si>
  <si>
    <t>基准地价法</t>
    <phoneticPr fontId="225" type="noConversion"/>
  </si>
  <si>
    <t>VI-空港B</t>
    <phoneticPr fontId="225" type="noConversion"/>
  </si>
  <si>
    <t>基准地价法</t>
  </si>
  <si>
    <t>VI-顺2</t>
    <phoneticPr fontId="225" type="noConversion"/>
  </si>
  <si>
    <t>住宅</t>
    <phoneticPr fontId="7" type="noConversion"/>
  </si>
  <si>
    <t>押一</t>
  </si>
  <si>
    <t>Ⅵ-顺1</t>
  </si>
  <si>
    <t>工程进度</t>
  </si>
  <si>
    <t>不动产收益法</t>
  </si>
  <si>
    <t>不动产比较法-住宅</t>
  </si>
  <si>
    <t>按租金收入计税</t>
  </si>
  <si>
    <t>已部分缴纳</t>
  </si>
  <si>
    <t>剩余法-现房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</si>
</sst>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color theme="1"/>
      <name val="微软雅黑"/>
      <family val="2"/>
      <charset val="134"/>
    </font>
    <font>
      <b/>
      <sz val="11"/>
      <color rgb="FFC00000"/>
      <name val="微软雅黑"/>
      <family val="2"/>
      <charset val="134"/>
    </font>
    <font>
      <sz val="11"/>
      <color theme="1"/>
      <name val="微软雅黑"/>
      <family val="2"/>
      <charset val="134"/>
    </font>
    <font>
      <sz val="11"/>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46" fillId="0" borderId="2" xfId="0" applyFont="1" applyBorder="1" applyAlignment="1">
      <alignment horizontal="center" vertical="center"/>
    </xf>
    <xf numFmtId="0" fontId="281" fillId="0" borderId="2" xfId="0" applyFont="1" applyBorder="1" applyAlignment="1">
      <alignment horizontal="center" vertical="center"/>
    </xf>
    <xf numFmtId="2" fontId="281" fillId="0" borderId="2" xfId="0" applyNumberFormat="1" applyFont="1" applyBorder="1" applyAlignment="1">
      <alignment horizontal="center" vertical="center"/>
    </xf>
    <xf numFmtId="0" fontId="281" fillId="0" borderId="2" xfId="0" applyNumberFormat="1" applyFont="1" applyBorder="1" applyAlignment="1">
      <alignment horizontal="center" vertical="center" wrapText="1"/>
    </xf>
    <xf numFmtId="0" fontId="282" fillId="0" borderId="2" xfId="0" applyFont="1" applyBorder="1" applyAlignment="1">
      <alignment horizontal="center" vertical="center"/>
    </xf>
    <xf numFmtId="2" fontId="282" fillId="0" borderId="2" xfId="0" applyNumberFormat="1" applyFont="1" applyBorder="1" applyAlignment="1">
      <alignment horizontal="center" vertical="center"/>
    </xf>
    <xf numFmtId="0" fontId="283" fillId="0" borderId="2" xfId="0" applyFont="1" applyBorder="1" applyAlignment="1">
      <alignment horizontal="center" vertical="center"/>
    </xf>
    <xf numFmtId="0" fontId="283" fillId="0" borderId="2" xfId="0" applyFont="1" applyBorder="1" applyAlignment="1">
      <alignment horizontal="center" vertical="center" wrapText="1"/>
    </xf>
    <xf numFmtId="0" fontId="283" fillId="0" borderId="2" xfId="0" applyFont="1" applyFill="1" applyBorder="1" applyAlignment="1">
      <alignment horizontal="center" vertical="center" wrapText="1"/>
    </xf>
    <xf numFmtId="0" fontId="284" fillId="0" borderId="2" xfId="0" applyFont="1" applyBorder="1" applyAlignment="1">
      <alignment horizontal="center"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142" fillId="0" borderId="0" xfId="0" applyFont="1" applyAlignment="1">
      <alignment horizontal="center" vertical="center"/>
    </xf>
    <xf numFmtId="0" fontId="0" fillId="0" borderId="0" xfId="0" applyAlignment="1">
      <alignment horizontal="center" vertical="center"/>
    </xf>
    <xf numFmtId="0" fontId="142" fillId="0" borderId="0" xfId="0" applyFont="1" applyFill="1" applyBorder="1" applyAlignment="1">
      <alignment horizontal="center" vertical="center"/>
    </xf>
    <xf numFmtId="0" fontId="281" fillId="0" borderId="5" xfId="0" applyFont="1" applyBorder="1" applyAlignment="1">
      <alignment horizontal="center" vertical="center"/>
    </xf>
    <xf numFmtId="0" fontId="281" fillId="0" borderId="8" xfId="0" applyFont="1" applyBorder="1" applyAlignment="1">
      <alignment horizontal="center" vertical="center"/>
    </xf>
    <xf numFmtId="0" fontId="281" fillId="0" borderId="9" xfId="0" applyFont="1" applyBorder="1" applyAlignment="1">
      <alignment horizontal="center" vertical="center"/>
    </xf>
    <xf numFmtId="0" fontId="281" fillId="0" borderId="10" xfId="0" applyNumberFormat="1" applyFont="1" applyBorder="1" applyAlignment="1">
      <alignment horizontal="center" vertical="center" wrapText="1"/>
    </xf>
    <xf numFmtId="0" fontId="281" fillId="0" borderId="3" xfId="0" applyNumberFormat="1" applyFont="1" applyBorder="1" applyAlignment="1">
      <alignment horizontal="center" vertical="center" wrapText="1"/>
    </xf>
    <xf numFmtId="0" fontId="281" fillId="0" borderId="21" xfId="0" applyNumberFormat="1" applyFont="1" applyBorder="1" applyAlignment="1">
      <alignment horizontal="center" vertical="center" wrapText="1"/>
    </xf>
    <xf numFmtId="0" fontId="281" fillId="0" borderId="5" xfId="0" applyFont="1" applyFill="1" applyBorder="1" applyAlignment="1">
      <alignment horizontal="center" vertical="center"/>
    </xf>
    <xf numFmtId="0" fontId="281" fillId="0" borderId="8" xfId="0" applyFont="1" applyFill="1" applyBorder="1" applyAlignment="1">
      <alignment horizontal="center" vertical="center"/>
    </xf>
    <xf numFmtId="0" fontId="281" fillId="0" borderId="9" xfId="0" applyFont="1" applyFill="1" applyBorder="1" applyAlignment="1">
      <alignment horizontal="center" vertical="center"/>
    </xf>
    <xf numFmtId="0" fontId="281" fillId="0" borderId="5" xfId="0" applyNumberFormat="1" applyFont="1" applyBorder="1" applyAlignment="1">
      <alignment horizontal="center" vertical="center" wrapText="1"/>
    </xf>
    <xf numFmtId="0" fontId="281" fillId="0" borderId="9" xfId="0" applyNumberFormat="1" applyFont="1" applyBorder="1" applyAlignment="1">
      <alignment horizontal="center"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39034;22&#34903;&#21306;&#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39034;&#20041;22&#34903;&#21306;/&#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截图"/>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住宅）"/>
      <sheetName val="基准地价（工业）"/>
      <sheetName val="基准地价（商业）"/>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3">
          <cell r="E13">
            <v>54737</v>
          </cell>
          <cell r="I13">
            <v>58389</v>
          </cell>
        </row>
      </sheetData>
      <sheetData sheetId="11"/>
      <sheetData sheetId="12">
        <row r="3">
          <cell r="A3">
            <v>52670.3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12812</v>
          </cell>
        </row>
      </sheetData>
      <sheetData sheetId="34">
        <row r="33">
          <cell r="C33">
            <v>2189</v>
          </cell>
        </row>
      </sheetData>
      <sheetData sheetId="35">
        <row r="33">
          <cell r="C33">
            <v>15973</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552" customWidth="1"/>
    <col min="2" max="2" width="78.1640625" style="2553" customWidth="1"/>
    <col min="3" max="18" width="9" style="2547"/>
    <col min="19" max="19" width="17.83203125" style="2547" customWidth="1"/>
    <col min="20" max="51" width="9" style="2547"/>
    <col min="52" max="52" width="13.1640625" style="2547" customWidth="1"/>
    <col min="53" max="53" width="13.5" style="2547" bestFit="1" customWidth="1"/>
    <col min="54" max="54" width="11.6640625" style="2547" bestFit="1" customWidth="1"/>
    <col min="55" max="55" width="13.5" style="2547" bestFit="1" customWidth="1"/>
    <col min="56" max="16384" width="9" style="2547"/>
  </cols>
  <sheetData>
    <row r="1" spans="1:55" s="2558" customFormat="1" ht="17" thickBot="1">
      <c r="A1" s="2556" t="s">
        <v>2427</v>
      </c>
      <c r="B1" s="2557" t="s">
        <v>2524</v>
      </c>
    </row>
    <row r="2" spans="1:55" s="2561" customFormat="1" ht="17" thickTop="1">
      <c r="A2" s="2559" t="s">
        <v>2431</v>
      </c>
      <c r="B2" s="2560" t="str">
        <f>'预评函-封皮'!B37</f>
        <v>北京市出让国有建设用地使用权市场价格预评估</v>
      </c>
      <c r="AX2" s="2562"/>
      <c r="AZ2" s="2562"/>
      <c r="BA2" s="2563"/>
      <c r="BC2" s="2563"/>
    </row>
    <row r="3" spans="1:55" s="2564" customFormat="1" ht="16">
      <c r="A3" s="2543" t="s">
        <v>2432</v>
      </c>
      <c r="B3" s="2546">
        <f>'预评函-封皮'!B40</f>
        <v>0</v>
      </c>
    </row>
    <row r="4" spans="1:55" s="2545" customFormat="1" ht="16">
      <c r="A4" s="2543" t="s">
        <v>2433</v>
      </c>
      <c r="B4" s="2544" t="str">
        <f>'预评函-封皮'!B46</f>
        <v>土地估价师、土地估价师</v>
      </c>
      <c r="N4" s="2545" t="str">
        <f>'预评函-1'!A28</f>
        <v>——</v>
      </c>
    </row>
    <row r="5" spans="1:55" s="2558" customFormat="1" ht="17" thickBot="1">
      <c r="A5" s="2565" t="s">
        <v>2434</v>
      </c>
      <c r="B5" s="2566" t="str">
        <f>'预评函-封皮'!B49</f>
        <v>康正预评字号</v>
      </c>
    </row>
    <row r="6" spans="1:55" s="2567" customFormat="1" ht="17" thickTop="1">
      <c r="A6" s="2559" t="s">
        <v>2476</v>
      </c>
      <c r="B6" s="2560" t="str">
        <f>'预评函-1'!A4</f>
        <v>受贵公司委托，我公司对北京市出让国有建设用地使用权市场价格进行了预评估。</v>
      </c>
      <c r="AM6" s="2568"/>
    </row>
    <row r="7" spans="1:55" s="2542" customFormat="1" ht="16">
      <c r="A7" s="2543" t="s">
        <v>2428</v>
      </c>
      <c r="B7" s="2544" t="str">
        <f>'预评函-1'!A6</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8" spans="1:55" s="2542" customFormat="1" ht="16">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ht="16">
      <c r="A9" s="2543" t="s">
        <v>2479</v>
      </c>
      <c r="B9" s="2544" t="str">
        <f>'预评函-1'!A9</f>
        <v>本次评估为委托估价方了解标的物之市场价格提供参考依据而评估出让国有建设用地使用权市场价格。</v>
      </c>
    </row>
    <row r="10" spans="1:55" s="2542" customFormat="1" ht="16">
      <c r="A10" s="2543" t="s">
        <v>2430</v>
      </c>
      <c r="B10" s="2544" t="str">
        <f>'预评函-1'!A11</f>
        <v>2022年9月22日</v>
      </c>
    </row>
    <row r="11" spans="1:55" s="2542" customFormat="1" ht="16">
      <c r="A11" s="2543" t="s">
        <v>2436</v>
      </c>
      <c r="B11" s="2544" t="str">
        <f>'预评函-1'!A14</f>
        <v>根据《国有土地使用证》[]，本次评估估价对象证载（地类）用途为。</v>
      </c>
    </row>
    <row r="12" spans="1:55" s="2542" customFormat="1" ht="16">
      <c r="A12" s="2543" t="s">
        <v>2437</v>
      </c>
      <c r="B12" s="2544" t="str">
        <f>'预评函-1'!A15</f>
        <v>本次评估设定用途即为证载用途。</v>
      </c>
    </row>
    <row r="13" spans="1:55" s="2542" customFormat="1" ht="16">
      <c r="A13" s="2543" t="s">
        <v>2438</v>
      </c>
      <c r="B13" s="2544" t="str">
        <f>'预评函-1'!A17</f>
        <v>根据委托估价方介绍及评估专业人员现场勘查，本次评估估价对象实际土地开发程度为红线外市政基础设施达“七通”（即、、、、、、）、宗地红线内场地平整。</v>
      </c>
    </row>
    <row r="14" spans="1:55" s="2542" customFormat="1" ht="16">
      <c r="A14" s="2543" t="s">
        <v>2439</v>
      </c>
      <c r="B14" s="2544" t="str">
        <f>'预评函-1'!A18</f>
        <v>。本次评估设定土地开发程度为红线外市政基础设施达“七通”、宗地红线内场地平整。</v>
      </c>
    </row>
    <row r="15" spans="1:55" s="2542" customFormat="1" ht="16">
      <c r="A15" s="2543" t="s">
        <v>2435</v>
      </c>
      <c r="B15" s="2544" t="str">
        <f>'预评函-1'!A20</f>
        <v>根据《国有土地使用证》[]，估价对象（分摊）出让国有建设用地使用权面积为52670.3平方米。根据《建设工程规划许可证》[]、《出让合同》[]，估价对象规划建筑面积为83394.85平方米。</v>
      </c>
    </row>
    <row r="16" spans="1:55" s="2542" customFormat="1" ht="16">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17" spans="1:48" s="2542" customFormat="1" ht="16">
      <c r="A17" s="2543" t="s">
        <v>2441</v>
      </c>
      <c r="B17" s="2544" t="str">
        <f>'预评函-1'!A23</f>
        <v>本次评估设定估价对象剩余土地使用年限为。</v>
      </c>
    </row>
    <row r="18" spans="1:48" s="2542" customFormat="1" ht="16">
      <c r="A18" s="2543" t="s">
        <v>2442</v>
      </c>
      <c r="B18" s="2544" t="str">
        <f>'预评函-1'!A25</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19" spans="1:48" s="2542" customFormat="1" ht="16">
      <c r="A19" s="2543" t="s">
        <v>2443</v>
      </c>
      <c r="B19" s="2544" t="str">
        <f>'预评函-1'!A26</f>
        <v>——</v>
      </c>
    </row>
    <row r="20" spans="1:48" s="2542" customFormat="1" ht="16">
      <c r="A20" s="2543" t="s">
        <v>2444</v>
      </c>
      <c r="B20" s="2544" t="str">
        <f>'预评函-1'!A27</f>
        <v>——</v>
      </c>
    </row>
    <row r="21" spans="1:48" s="2558" customFormat="1" ht="17" thickBot="1">
      <c r="A21" s="2565" t="s">
        <v>2445</v>
      </c>
      <c r="B21" s="2566" t="str">
        <f>'预评函-1'!A28</f>
        <v>——</v>
      </c>
    </row>
    <row r="22" spans="1:48" ht="17" thickTop="1">
      <c r="A22" s="2554" t="s">
        <v>2446</v>
      </c>
      <c r="B22" s="2555"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ht="16">
      <c r="A23" s="2543" t="s">
        <v>2447</v>
      </c>
      <c r="B23" s="2544" t="str">
        <f>'预评函-2'!K2</f>
        <v>估价期日：2022年9月22日</v>
      </c>
    </row>
    <row r="24" spans="1:48" ht="16">
      <c r="A24" s="2543" t="s">
        <v>2448</v>
      </c>
      <c r="B24" s="2544" t="str">
        <f>'预评函-2'!R2</f>
        <v>估价期日的国有建设用地使用权性质：出让</v>
      </c>
    </row>
    <row r="25" spans="1:48" ht="16">
      <c r="A25" s="2543" t="s">
        <v>2504</v>
      </c>
      <c r="B25" s="2544" t="str">
        <f>'预评函-2'!A3</f>
        <v>估价期日土地使用者</v>
      </c>
    </row>
    <row r="26" spans="1:48" ht="16">
      <c r="A26" s="2543" t="s">
        <v>2480</v>
      </c>
      <c r="B26" s="2544" t="str">
        <f>'预评函-2'!A5</f>
        <v>中信开发</v>
      </c>
    </row>
    <row r="27" spans="1:48" ht="16">
      <c r="A27" s="2543" t="s">
        <v>2505</v>
      </c>
      <c r="B27" s="2544" t="str">
        <f>'预评函-2'!B3</f>
        <v>宗地编号/不动产单元号</v>
      </c>
    </row>
    <row r="28" spans="1:48" ht="16">
      <c r="A28" s="2543" t="s">
        <v>2481</v>
      </c>
      <c r="B28" s="2544" t="str">
        <f>'预评函-2'!B5</f>
        <v>11111111111</v>
      </c>
    </row>
    <row r="29" spans="1:48" ht="16">
      <c r="A29" s="2543" t="s">
        <v>2507</v>
      </c>
      <c r="B29" s="2544">
        <f>'预评函-2'!C5</f>
        <v>22</v>
      </c>
    </row>
    <row r="30" spans="1:48" ht="16">
      <c r="A30" s="2543" t="s">
        <v>2508</v>
      </c>
      <c r="B30" s="2544" t="str">
        <f>'预评函-2'!D3</f>
        <v>土地使用证编号/不动产权证书编号</v>
      </c>
    </row>
    <row r="31" spans="1:48" ht="16">
      <c r="A31" s="2543" t="s">
        <v>2482</v>
      </c>
      <c r="B31" s="2544" t="str">
        <f>'预评函-2'!D5</f>
        <v>京国土字第111号</v>
      </c>
    </row>
    <row r="32" spans="1:48" ht="16">
      <c r="A32" s="2543" t="s">
        <v>2483</v>
      </c>
      <c r="B32" s="2544">
        <f>'预评函-2'!E5</f>
        <v>0</v>
      </c>
      <c r="AV32" s="2548"/>
    </row>
    <row r="33" spans="1:2" ht="16">
      <c r="A33" s="2543" t="s">
        <v>2484</v>
      </c>
      <c r="B33" s="2544">
        <f>'预评函-2'!F5</f>
        <v>258</v>
      </c>
    </row>
    <row r="34" spans="1:2" ht="16">
      <c r="A34" s="2543" t="s">
        <v>2485</v>
      </c>
      <c r="B34" s="2544">
        <f>'预评函-2'!G5</f>
        <v>0</v>
      </c>
    </row>
    <row r="35" spans="1:2" ht="16">
      <c r="A35" s="2543" t="s">
        <v>2486</v>
      </c>
      <c r="B35" s="2544">
        <f>'预评函-2'!H5</f>
        <v>1.5</v>
      </c>
    </row>
    <row r="36" spans="1:2" ht="16">
      <c r="A36" s="2543" t="s">
        <v>2487</v>
      </c>
      <c r="B36" s="2544">
        <f>'预评函-2'!I5</f>
        <v>1.5</v>
      </c>
    </row>
    <row r="37" spans="1:2" ht="16">
      <c r="A37" s="2543" t="s">
        <v>2488</v>
      </c>
      <c r="B37" s="2544">
        <f>'预评函-2'!J5</f>
        <v>1.5</v>
      </c>
    </row>
    <row r="38" spans="1:2" ht="16">
      <c r="A38" s="2543" t="s">
        <v>2489</v>
      </c>
      <c r="B38" s="2544" t="str">
        <f>'预评函-2'!K5</f>
        <v>红线外七通、宗地红线内</v>
      </c>
    </row>
    <row r="39" spans="1:2" ht="16">
      <c r="A39" s="2543" t="s">
        <v>2490</v>
      </c>
      <c r="B39" s="2544" t="str">
        <f>'预评函-2'!L5</f>
        <v>红线外七通、宗地红线内场地</v>
      </c>
    </row>
    <row r="40" spans="1:2" ht="16">
      <c r="A40" s="2543" t="s">
        <v>2509</v>
      </c>
      <c r="B40" s="2544" t="str">
        <f>'预评函-2'!M3</f>
        <v>（剩余）土地使用年限/年</v>
      </c>
    </row>
    <row r="41" spans="1:2" ht="16">
      <c r="A41" s="2543" t="s">
        <v>2491</v>
      </c>
      <c r="B41" s="2544">
        <f>'预评函-2'!M5</f>
        <v>0</v>
      </c>
    </row>
    <row r="42" spans="1:2" ht="16">
      <c r="A42" s="2543" t="s">
        <v>2510</v>
      </c>
      <c r="B42" s="2544" t="str">
        <f>'预评函-2'!N3</f>
        <v>（分摊）出让国有建设用地使用权面积/㎡</v>
      </c>
    </row>
    <row r="43" spans="1:2" ht="16">
      <c r="A43" s="2543" t="s">
        <v>2492</v>
      </c>
      <c r="B43" s="2544">
        <f>'预评函-2'!N5</f>
        <v>52670.3</v>
      </c>
    </row>
    <row r="44" spans="1:2" ht="16">
      <c r="A44" s="2543" t="s">
        <v>2511</v>
      </c>
      <c r="B44" s="2544" t="str">
        <f>'预评函-2'!O3</f>
        <v>规划建筑面积/㎡</v>
      </c>
    </row>
    <row r="45" spans="1:2" ht="16">
      <c r="A45" s="2543" t="s">
        <v>2493</v>
      </c>
      <c r="B45" s="2544">
        <f>'预评函-2'!O5</f>
        <v>83394.849999999991</v>
      </c>
    </row>
    <row r="46" spans="1:2" ht="16">
      <c r="A46" s="2543" t="s">
        <v>2494</v>
      </c>
      <c r="B46" s="2544">
        <f ca="1">'预评函-2'!P5</f>
        <v>17117</v>
      </c>
    </row>
    <row r="47" spans="1:2" ht="16">
      <c r="A47" s="2543" t="s">
        <v>2495</v>
      </c>
      <c r="B47" s="2544">
        <f ca="1">'预评函-2'!Q5</f>
        <v>10811</v>
      </c>
    </row>
    <row r="48" spans="1:2" ht="16">
      <c r="A48" s="2543" t="s">
        <v>2496</v>
      </c>
      <c r="B48" s="2544">
        <f ca="1">'预评函-2'!R5</f>
        <v>90155</v>
      </c>
    </row>
    <row r="49" spans="1:2" ht="16">
      <c r="A49" s="2543" t="s">
        <v>2512</v>
      </c>
      <c r="B49" s="2544" t="str">
        <f>'预评函-2'!A6</f>
        <v>——</v>
      </c>
    </row>
    <row r="50" spans="1:2" ht="16">
      <c r="A50" s="2543" t="s">
        <v>2497</v>
      </c>
      <c r="B50" s="2544" t="str">
        <f>'预评函-2'!R6</f>
        <v>——</v>
      </c>
    </row>
    <row r="51" spans="1:2" ht="16">
      <c r="A51" s="2543" t="s">
        <v>2513</v>
      </c>
      <c r="B51" s="2544" t="str">
        <f>'预评函-2'!A7</f>
        <v>——</v>
      </c>
    </row>
    <row r="52" spans="1:2" ht="16">
      <c r="A52" s="2543" t="s">
        <v>2498</v>
      </c>
      <c r="B52" s="2544" t="str">
        <f>'预评函-2'!R7</f>
        <v>——</v>
      </c>
    </row>
    <row r="53" spans="1:2" ht="16">
      <c r="A53" s="2543" t="s">
        <v>2514</v>
      </c>
      <c r="B53" s="2544" t="str">
        <f>'预评函-2'!A8</f>
        <v>——</v>
      </c>
    </row>
    <row r="54" spans="1:2" s="2558" customFormat="1" ht="17" thickBot="1">
      <c r="A54" s="2565" t="s">
        <v>2499</v>
      </c>
      <c r="B54" s="2566" t="str">
        <f>'预评函-2'!R8</f>
        <v>——</v>
      </c>
    </row>
    <row r="55" spans="1:2" ht="17" thickTop="1">
      <c r="A55" s="2554" t="s">
        <v>2449</v>
      </c>
      <c r="B55" s="2555" t="str">
        <f>'预评函-3'!A2</f>
        <v>1.权利限制：根据估价对象《不动产权证书》原件、《国有土地使用权》复印件，截至估价期日，估价对象抵押权未见登记。未设定租赁等其他他项权利。</v>
      </c>
    </row>
    <row r="56" spans="1:2" ht="16">
      <c r="A56" s="2543" t="s">
        <v>2450</v>
      </c>
      <c r="B56" s="2544" t="str">
        <f>'预评函-3'!A3</f>
        <v>2.基础设施条件：估价对象实际开发程度为红线外七通、宗地红线内；本次评估设定开发程度为红线外七通、宗地红线内场地。</v>
      </c>
    </row>
    <row r="57" spans="1:2" ht="16">
      <c r="A57" s="2543" t="s">
        <v>2451</v>
      </c>
      <c r="B57" s="2544" t="str">
        <f>'预评函-3'!A4</f>
        <v>3.估价规划限制条件：详见《建设工程规划许可证》[]、《出让合同》[]。</v>
      </c>
    </row>
    <row r="58" spans="1:2" s="2558" customFormat="1" ht="17" thickBot="1">
      <c r="A58" s="2565" t="s">
        <v>2500</v>
      </c>
      <c r="B58" s="2566" t="str">
        <f>'预评函-3'!A5</f>
        <v>4.影响价格的其他限定条件：无。</v>
      </c>
    </row>
    <row r="59" spans="1:2" ht="17" thickTop="1">
      <c r="A59" s="2554" t="s">
        <v>2452</v>
      </c>
      <c r="B59" s="2555" t="str">
        <f>'预评函-3'!A8</f>
        <v>2.本次评估设定估价对象宗地权属无争议，未被查封或者以其他形式限制其房地产权利，未设定抵押权等他项权利，不涉及第三方权利义务。</v>
      </c>
    </row>
    <row r="60" spans="1:2" ht="16">
      <c r="A60" s="2543" t="s">
        <v>2453</v>
      </c>
      <c r="B60" s="2544" t="str">
        <f>'预评函-3'!A9</f>
        <v>——</v>
      </c>
    </row>
    <row r="61" spans="1:2" ht="16">
      <c r="A61" s="2543" t="s">
        <v>2455</v>
      </c>
      <c r="B61" s="2544" t="str">
        <f>'预评函-3'!A10</f>
        <v>——</v>
      </c>
    </row>
    <row r="62" spans="1:2" ht="16">
      <c r="A62" s="2543" t="s">
        <v>2454</v>
      </c>
      <c r="B62" s="2544" t="str">
        <f>'预评函-3'!A11</f>
        <v>——</v>
      </c>
    </row>
    <row r="63" spans="1:2" ht="16">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543" t="s">
        <v>2457</v>
      </c>
      <c r="B64" s="2549" t="str">
        <f>'预评函-3'!A13</f>
        <v>（3）。</v>
      </c>
    </row>
    <row r="65" spans="1:2" ht="16">
      <c r="A65" s="2543" t="s">
        <v>2458</v>
      </c>
      <c r="B65" s="2550" t="str">
        <f>'预评函-3'!A14</f>
        <v>——</v>
      </c>
    </row>
    <row r="66" spans="1:2" ht="16">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7" thickBot="1">
      <c r="A68" s="2565" t="s">
        <v>2463</v>
      </c>
      <c r="B68" s="2569">
        <f>'预评函-3'!D30</f>
        <v>42558</v>
      </c>
    </row>
    <row r="69" spans="1:2" ht="17" thickTop="1">
      <c r="A69" s="2554" t="s">
        <v>2461</v>
      </c>
      <c r="B69" s="2555" t="str">
        <f>'预评函-3'!A20</f>
        <v>土地估价师</v>
      </c>
    </row>
    <row r="70" spans="1:2" ht="16">
      <c r="A70" s="2543" t="s">
        <v>2461</v>
      </c>
      <c r="B70" s="2550">
        <f>'预评函-3'!B20</f>
        <v>0</v>
      </c>
    </row>
    <row r="71" spans="1:2" ht="16">
      <c r="A71" s="2543" t="s">
        <v>2462</v>
      </c>
      <c r="B71" s="2544" t="str">
        <f>'预评函-3'!A21</f>
        <v>土地估价师</v>
      </c>
    </row>
    <row r="72" spans="1:2" s="2558" customFormat="1" ht="17" thickBot="1">
      <c r="A72" s="2565" t="s">
        <v>2462</v>
      </c>
      <c r="B72" s="2571">
        <f>'预评函-3'!B21</f>
        <v>0</v>
      </c>
    </row>
    <row r="73" spans="1:2" ht="17"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7"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70" zoomScaleNormal="100" zoomScaleSheetLayoutView="70" workbookViewId="0">
      <selection activeCell="C45" sqref="C45"/>
    </sheetView>
  </sheetViews>
  <sheetFormatPr baseColWidth="10" defaultColWidth="10" defaultRowHeight="15"/>
  <cols>
    <col min="1" max="1" width="15.33203125" style="1567" customWidth="1"/>
    <col min="2" max="2" width="11.33203125" style="1567" customWidth="1"/>
    <col min="3" max="3" width="12.6640625" style="1567" customWidth="1"/>
    <col min="4" max="4" width="11.83203125" style="1567" customWidth="1"/>
    <col min="5" max="5" width="12.5" style="1567" customWidth="1"/>
    <col min="6" max="6" width="11.33203125" style="1567" customWidth="1"/>
    <col min="7" max="7" width="12.3320312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7" thickBot="1">
      <c r="A1" s="1540" t="s">
        <v>1722</v>
      </c>
      <c r="B1" s="3518" t="str">
        <f>IF(B10="北京市","北京市",C10)&amp;F10&amp;B16&amp;"国有建设用地使用权"&amp;B9&amp;"预评估"</f>
        <v>北京市出让国有建设用地使用权市场价格预评估</v>
      </c>
      <c r="C1" s="3519"/>
      <c r="D1" s="3519"/>
      <c r="E1" s="3519"/>
      <c r="F1" s="3519"/>
      <c r="G1" s="3519"/>
      <c r="H1" s="3519"/>
      <c r="I1" s="3520"/>
      <c r="J1" s="3010"/>
      <c r="K1" s="2261" t="str">
        <f>IF(B10="北京市","北京市",C10)&amp;F10&amp;B16&amp;"国有建设用地使用权"&amp;B9</f>
        <v>北京市出让国有建设用地使用权市场价格</v>
      </c>
      <c r="L1" s="2989"/>
      <c r="M1" s="2989"/>
      <c r="N1" s="2990"/>
      <c r="O1" s="2991"/>
      <c r="P1" s="2990"/>
      <c r="Q1" s="2990"/>
      <c r="R1" s="2990"/>
      <c r="S1" s="2990"/>
      <c r="T1" s="2990"/>
      <c r="U1" s="2990"/>
    </row>
    <row r="2" spans="1:21" ht="16">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ht="16">
      <c r="A3" s="1542" t="s">
        <v>1724</v>
      </c>
      <c r="B3" s="1543"/>
      <c r="C3" s="2933" t="s">
        <v>1780</v>
      </c>
      <c r="D3" s="1543">
        <v>44826</v>
      </c>
      <c r="E3" s="3010"/>
      <c r="F3" s="3010"/>
      <c r="G3" s="3010"/>
      <c r="H3" s="3011"/>
      <c r="I3" s="3012"/>
      <c r="J3" s="3010"/>
      <c r="K3" s="2993"/>
      <c r="L3" s="2989"/>
      <c r="M3" s="2989"/>
      <c r="N3" s="2990"/>
      <c r="O3" s="2991"/>
      <c r="P3" s="2990"/>
      <c r="Q3" s="2990"/>
      <c r="R3" s="2990"/>
      <c r="S3" s="2990"/>
      <c r="T3" s="2990"/>
      <c r="U3" s="2990"/>
    </row>
    <row r="4" spans="1:21" ht="17"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7"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31">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ht="16">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ht="16">
      <c r="A8" s="2934" t="s">
        <v>1727</v>
      </c>
      <c r="B8" s="1551" t="s">
        <v>2816</v>
      </c>
      <c r="C8" s="1552"/>
      <c r="D8" s="3524" t="s">
        <v>1729</v>
      </c>
      <c r="E8" s="1710"/>
      <c r="F8" s="1553"/>
      <c r="G8" s="3011"/>
      <c r="H8" s="3011"/>
      <c r="I8" s="3014"/>
      <c r="J8" s="3010"/>
      <c r="K8" s="2993"/>
      <c r="L8" s="2989"/>
      <c r="M8" s="2989"/>
      <c r="N8" s="2990"/>
      <c r="O8" s="2991"/>
      <c r="P8" s="2990"/>
      <c r="Q8" s="2990"/>
      <c r="R8" s="2990"/>
      <c r="S8" s="2990"/>
      <c r="T8" s="2990"/>
      <c r="U8" s="2990"/>
    </row>
    <row r="9" spans="1:21" ht="17" thickBot="1">
      <c r="A9" s="2935" t="s">
        <v>1728</v>
      </c>
      <c r="B9" s="1554" t="s">
        <v>3205</v>
      </c>
      <c r="C9" s="1555"/>
      <c r="D9" s="3525"/>
      <c r="E9" s="1554"/>
      <c r="F9" s="1617"/>
      <c r="G9" s="3015"/>
      <c r="H9" s="3015"/>
      <c r="I9" s="3016"/>
      <c r="J9" s="3010"/>
      <c r="K9" s="2993"/>
      <c r="L9" s="2989"/>
      <c r="M9" s="2989"/>
      <c r="N9" s="2990"/>
      <c r="O9" s="2991"/>
      <c r="P9" s="2990"/>
      <c r="Q9" s="2990"/>
      <c r="R9" s="2990"/>
      <c r="S9" s="2990"/>
      <c r="T9" s="2990"/>
      <c r="U9" s="2990"/>
    </row>
    <row r="10" spans="1:21" ht="17"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ht="16">
      <c r="A11" s="2937" t="s">
        <v>1785</v>
      </c>
      <c r="B11" s="1573" t="s">
        <v>3206</v>
      </c>
      <c r="C11" s="1559"/>
      <c r="D11" s="1632"/>
      <c r="E11" s="3009"/>
      <c r="F11" s="3009"/>
      <c r="G11" s="3009"/>
      <c r="H11" s="3009"/>
      <c r="I11" s="3009"/>
      <c r="J11" s="3010"/>
      <c r="K11" s="2993"/>
      <c r="L11" s="2989"/>
      <c r="M11" s="2989"/>
      <c r="N11" s="2990"/>
      <c r="O11" s="2991"/>
      <c r="P11" s="2990"/>
      <c r="Q11" s="2990"/>
      <c r="R11" s="2990"/>
      <c r="S11" s="2990"/>
      <c r="T11" s="2990"/>
      <c r="U11" s="2990"/>
    </row>
    <row r="12" spans="1:21" ht="16">
      <c r="A12" s="1652" t="s">
        <v>1843</v>
      </c>
      <c r="B12" s="3521"/>
      <c r="C12" s="3522"/>
      <c r="D12" s="3523"/>
      <c r="E12" s="1574" t="s">
        <v>1846</v>
      </c>
      <c r="F12" s="3539" t="s">
        <v>2656</v>
      </c>
      <c r="G12" s="3540"/>
      <c r="H12" s="3540"/>
      <c r="I12" s="3541"/>
      <c r="J12" s="3010"/>
      <c r="K12" s="2993"/>
      <c r="L12" s="2989"/>
      <c r="M12" s="2989"/>
      <c r="N12" s="2990"/>
      <c r="O12" s="2991"/>
      <c r="P12" s="2990"/>
      <c r="Q12" s="2990"/>
      <c r="R12" s="2990"/>
      <c r="S12" s="2990"/>
      <c r="T12" s="2990"/>
      <c r="U12" s="2990"/>
    </row>
    <row r="13" spans="1:21" ht="16">
      <c r="A13" s="1565" t="s">
        <v>1844</v>
      </c>
      <c r="B13" s="3521"/>
      <c r="C13" s="3522"/>
      <c r="D13" s="3523"/>
      <c r="E13" s="1574" t="s">
        <v>1846</v>
      </c>
      <c r="F13" s="3539" t="s">
        <v>2657</v>
      </c>
      <c r="G13" s="3540"/>
      <c r="H13" s="3540"/>
      <c r="I13" s="3541"/>
      <c r="J13" s="3010"/>
      <c r="K13" s="2993"/>
      <c r="L13" s="2989"/>
      <c r="M13" s="2989"/>
      <c r="N13" s="2990"/>
      <c r="O13" s="2991"/>
      <c r="P13" s="2990"/>
      <c r="Q13" s="2990"/>
      <c r="R13" s="2990"/>
      <c r="S13" s="2990"/>
      <c r="T13" s="2990"/>
      <c r="U13" s="2990"/>
    </row>
    <row r="14" spans="1:21">
      <c r="A14" s="1542" t="s">
        <v>1847</v>
      </c>
      <c r="B14" s="1574"/>
      <c r="C14" s="1711"/>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t="16"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48">
      <c r="A16" s="2938" t="s">
        <v>1732</v>
      </c>
      <c r="B16" s="1560" t="s">
        <v>2816</v>
      </c>
      <c r="C16" s="1574" t="s">
        <v>1733</v>
      </c>
      <c r="D16" s="2436" t="s">
        <v>1734</v>
      </c>
      <c r="E16" s="1596" t="s">
        <v>3207</v>
      </c>
      <c r="F16" s="1596"/>
      <c r="G16" s="1596"/>
      <c r="H16" s="1596"/>
      <c r="I16" s="1564" t="s">
        <v>1739</v>
      </c>
      <c r="J16" s="3010"/>
      <c r="K16" s="2262" t="str">
        <f>IF(D17="","",D16&amp;TEXT(D17,"yyyy年m月d日;;"))</f>
        <v>住宅2092年9月22日</v>
      </c>
      <c r="L16" s="1574" t="str">
        <f>IF(OR(K16="",M16=""),"","、")</f>
        <v>、</v>
      </c>
      <c r="M16" s="2262" t="str">
        <f>IF(E17="","",E16&amp;TEXT(E17,"yyyy年m月d日;;"))</f>
        <v>商业2062年9月21日</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工业2059年11月10日</v>
      </c>
    </row>
    <row r="17" spans="1:21" ht="16">
      <c r="A17" s="1633"/>
      <c r="B17" s="1561"/>
      <c r="C17" s="2939" t="s">
        <v>1740</v>
      </c>
      <c r="D17" s="3213">
        <v>70394</v>
      </c>
      <c r="E17" s="3213">
        <v>59435</v>
      </c>
      <c r="F17" s="3213"/>
      <c r="G17" s="3213"/>
      <c r="H17" s="3213"/>
      <c r="I17" s="3213">
        <f>[2]项目基本情况!$I$13</f>
        <v>58389</v>
      </c>
      <c r="J17" s="3010"/>
      <c r="K17" s="2988" t="str">
        <f>CONCATENATE(K16,L16,M16,N16,O16,P16,Q16,R16,S16,T16,,U16)</f>
        <v>住宅2092年9月22日、商业2062年9月21日工业2059年11月10日</v>
      </c>
      <c r="L17" s="2989"/>
      <c r="M17" s="2989"/>
      <c r="N17" s="2990"/>
      <c r="O17" s="2991"/>
      <c r="P17" s="2990"/>
      <c r="Q17" s="2990"/>
      <c r="R17" s="2990"/>
      <c r="S17" s="2990"/>
      <c r="T17" s="2990"/>
      <c r="U17" s="2990"/>
    </row>
    <row r="18" spans="1:21" ht="16">
      <c r="A18" s="1633"/>
      <c r="B18" s="1561"/>
      <c r="C18" s="2939" t="s">
        <v>1741</v>
      </c>
      <c r="D18" s="1562">
        <v>70</v>
      </c>
      <c r="E18" s="1562">
        <v>40</v>
      </c>
      <c r="F18" s="1562"/>
      <c r="G18" s="1562"/>
      <c r="H18" s="1562"/>
      <c r="I18" s="1562"/>
      <c r="J18" s="3010"/>
      <c r="K18" s="2993"/>
      <c r="L18" s="2989"/>
      <c r="M18" s="2989"/>
      <c r="N18" s="2990"/>
      <c r="O18" s="2991"/>
      <c r="P18" s="2990"/>
      <c r="Q18" s="2990"/>
      <c r="R18" s="2990"/>
      <c r="S18" s="2990"/>
      <c r="T18" s="2990"/>
      <c r="U18" s="2990"/>
    </row>
    <row r="19" spans="1:21" ht="16">
      <c r="A19" s="1633"/>
      <c r="B19" s="1561"/>
      <c r="C19" s="1541" t="s">
        <v>1742</v>
      </c>
      <c r="D19" s="1628">
        <f>IF(B16="出让",IF(D17="","",ROUNDDOWN(MIN((D17-$D$3)/365,D18),2)),D18)</f>
        <v>70</v>
      </c>
      <c r="E19" s="1563">
        <f>IF(B16="出让",IF(E17="","",ROUNDDOWN(MIN((E17-$D$3)/365,E18),2)),E18)</f>
        <v>40</v>
      </c>
      <c r="F19" s="1563" t="str">
        <f>IF(B16="出让",IF(F17="","",ROUNDDOWN(MIN((F17-$D$3)/365,F18),2)),F18)</f>
        <v/>
      </c>
      <c r="G19" s="1563" t="str">
        <f>IF(B16="出让",IF(G17="","",ROUNDDOWN(MIN((G17-$D$3)/365,G18),2)),G18)</f>
        <v/>
      </c>
      <c r="H19" s="1563" t="str">
        <f>IF(B16="出让",IF(H17="","",ROUNDDOWN(MIN((H17-$D$3)/365,H18),2)),H18)</f>
        <v/>
      </c>
      <c r="I19" s="1563">
        <f>IF(B16="出让",IF(I17="","",ROUNDDOWN(MIN((I17-$D$3)/365,I18),2)),I18)</f>
        <v>37.15</v>
      </c>
      <c r="J19" s="3010"/>
      <c r="K19" s="2993"/>
      <c r="L19" s="2989"/>
      <c r="M19" s="2989"/>
      <c r="N19" s="2990"/>
      <c r="O19" s="2991"/>
      <c r="P19" s="2990"/>
      <c r="Q19" s="2990"/>
      <c r="R19" s="2990"/>
      <c r="S19" s="2990"/>
      <c r="T19" s="2990"/>
      <c r="U19" s="2990"/>
    </row>
    <row r="20" spans="1:21">
      <c r="A20" s="1653"/>
      <c r="B20" s="1654"/>
      <c r="C20" s="1655" t="s">
        <v>1845</v>
      </c>
      <c r="D20" s="3536"/>
      <c r="E20" s="3537"/>
      <c r="F20" s="3537"/>
      <c r="G20" s="3537"/>
      <c r="H20" s="3537"/>
      <c r="I20" s="3538"/>
      <c r="J20" s="3010"/>
      <c r="K20" s="2993"/>
      <c r="L20" s="2989"/>
      <c r="M20" s="2989"/>
      <c r="N20" s="2990"/>
      <c r="O20" s="2991"/>
      <c r="P20" s="2990"/>
      <c r="Q20" s="2990"/>
      <c r="R20" s="2990"/>
      <c r="S20" s="2990"/>
      <c r="T20" s="2990"/>
      <c r="U20" s="2990"/>
    </row>
    <row r="21" spans="1:21" ht="16">
      <c r="A21" s="1633" t="s">
        <v>1743</v>
      </c>
      <c r="B21" s="1634" t="s">
        <v>1744</v>
      </c>
      <c r="C21" s="1629">
        <f>'数据-汇总表'!E3</f>
        <v>83394.849999999991</v>
      </c>
      <c r="D21" s="1630" t="s">
        <v>1745</v>
      </c>
      <c r="E21" s="3526" t="s">
        <v>1783</v>
      </c>
      <c r="F21" s="3527"/>
      <c r="G21" s="3527"/>
      <c r="H21" s="3527"/>
      <c r="I21" s="3528"/>
      <c r="J21" s="3010"/>
      <c r="K21" s="2993"/>
      <c r="L21" s="2989"/>
      <c r="M21" s="2989"/>
      <c r="N21" s="2990"/>
      <c r="O21" s="2991"/>
      <c r="P21" s="2990"/>
      <c r="Q21" s="2990"/>
      <c r="R21" s="2990"/>
      <c r="S21" s="2990"/>
      <c r="T21" s="2990"/>
      <c r="U21" s="2990"/>
    </row>
    <row r="22" spans="1:21" ht="17">
      <c r="A22" s="2748" t="s">
        <v>926</v>
      </c>
      <c r="B22" s="1542" t="s">
        <v>1746</v>
      </c>
      <c r="C22" s="1564">
        <f>'数据-汇总表'!D3</f>
        <v>52670.3</v>
      </c>
      <c r="D22" s="1565" t="s">
        <v>1745</v>
      </c>
      <c r="E22" s="3526" t="s">
        <v>2658</v>
      </c>
      <c r="F22" s="3527"/>
      <c r="G22" s="3527"/>
      <c r="H22" s="3527"/>
      <c r="I22" s="3528"/>
      <c r="J22" s="3010"/>
      <c r="K22" s="2993"/>
      <c r="L22" s="2989"/>
      <c r="M22" s="2989"/>
      <c r="N22" s="2990"/>
      <c r="O22" s="2991"/>
      <c r="P22" s="2990"/>
      <c r="Q22" s="2990"/>
      <c r="R22" s="2990"/>
      <c r="S22" s="2990"/>
      <c r="T22" s="2990"/>
      <c r="U22" s="2990"/>
    </row>
    <row r="23" spans="1:21" ht="49"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ht="16">
      <c r="A24" s="1620" t="s">
        <v>1750</v>
      </c>
      <c r="B24" s="3529" t="s">
        <v>1751</v>
      </c>
      <c r="C24" s="3530"/>
      <c r="D24" s="3531" t="s">
        <v>1752</v>
      </c>
      <c r="E24" s="3532"/>
      <c r="F24" s="1582" t="s">
        <v>1753</v>
      </c>
      <c r="G24" s="3010"/>
      <c r="H24" s="3010"/>
      <c r="I24" s="3014"/>
      <c r="J24" s="3010"/>
      <c r="K24" s="3517"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32">
      <c r="A25" s="1621"/>
      <c r="B25" s="1618" t="s">
        <v>2108</v>
      </c>
      <c r="C25" s="1583" t="s">
        <v>1755</v>
      </c>
      <c r="D25" s="1584"/>
      <c r="E25" s="1585" t="s">
        <v>926</v>
      </c>
      <c r="F25" s="1586"/>
      <c r="G25" s="3010"/>
      <c r="H25" s="3010"/>
      <c r="I25" s="3014"/>
      <c r="J25" s="3010"/>
      <c r="K25" s="3517"/>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33" thickBot="1">
      <c r="A26" s="1622"/>
      <c r="B26" s="1619" t="s">
        <v>1756</v>
      </c>
      <c r="C26" s="1583" t="s">
        <v>2109</v>
      </c>
      <c r="D26" s="3011"/>
      <c r="E26" s="3011"/>
      <c r="F26" s="3017"/>
      <c r="G26" s="3010"/>
      <c r="H26" s="3010"/>
      <c r="I26" s="3014"/>
      <c r="J26" s="3010"/>
      <c r="K26" s="3517"/>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ht="16">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ht="16">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ht="16">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7"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6" thickTop="1">
      <c r="A31" s="3503" t="s">
        <v>1786</v>
      </c>
      <c r="B31" s="1634" t="s">
        <v>1787</v>
      </c>
      <c r="C31" s="3542"/>
      <c r="D31" s="3543"/>
      <c r="E31" s="3010"/>
      <c r="F31" s="3010"/>
      <c r="G31" s="3010"/>
      <c r="H31" s="3010"/>
      <c r="I31" s="3014"/>
      <c r="J31" s="3010"/>
      <c r="K31" s="2996"/>
      <c r="L31" s="2990"/>
      <c r="M31" s="2990"/>
      <c r="N31" s="2990"/>
      <c r="O31" s="2990"/>
      <c r="P31" s="2990"/>
      <c r="Q31" s="2990"/>
      <c r="R31" s="2990"/>
      <c r="S31" s="2990"/>
      <c r="T31" s="2990"/>
      <c r="U31" s="2990"/>
    </row>
    <row r="32" spans="1:21">
      <c r="A32" s="3503"/>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03"/>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04"/>
      <c r="B34" s="1542" t="s">
        <v>1790</v>
      </c>
      <c r="C34" s="3505"/>
      <c r="D34" s="3506"/>
      <c r="E34" s="3010"/>
      <c r="F34" s="3010"/>
      <c r="G34" s="3010"/>
      <c r="H34" s="3010"/>
      <c r="I34" s="3014"/>
      <c r="J34" s="3010"/>
      <c r="K34" s="2996"/>
      <c r="L34" s="2990"/>
      <c r="M34" s="2990"/>
      <c r="N34" s="2990"/>
      <c r="O34" s="2990"/>
      <c r="P34" s="2990"/>
      <c r="Q34" s="2990"/>
      <c r="R34" s="2990"/>
      <c r="S34" s="2990"/>
      <c r="T34" s="2990"/>
      <c r="U34" s="2990"/>
    </row>
    <row r="35" spans="1:28" ht="16">
      <c r="A35" s="3507" t="s">
        <v>822</v>
      </c>
      <c r="B35" s="1596"/>
      <c r="C35" s="1643" t="str">
        <f>IF(B35="场地平整","——","具体情况：")</f>
        <v>具体情况：</v>
      </c>
      <c r="D35" s="3509"/>
      <c r="E35" s="3510"/>
      <c r="F35" s="3510"/>
      <c r="G35" s="3510"/>
      <c r="H35" s="3510"/>
      <c r="I35" s="3511"/>
      <c r="J35" s="3010"/>
      <c r="K35" s="2997"/>
      <c r="L35" s="2989"/>
      <c r="M35" s="2989"/>
      <c r="N35" s="2990"/>
      <c r="O35" s="2991"/>
      <c r="P35" s="2990"/>
      <c r="Q35" s="2990"/>
      <c r="R35" s="2990"/>
      <c r="S35" s="2990"/>
      <c r="T35" s="2990"/>
      <c r="U35" s="2990"/>
    </row>
    <row r="36" spans="1:28" ht="16">
      <c r="A36" s="3503"/>
      <c r="B36" s="3512" t="s">
        <v>1839</v>
      </c>
      <c r="C36" s="3513"/>
      <c r="D36" s="1659"/>
      <c r="E36" s="3514"/>
      <c r="F36" s="3514"/>
      <c r="G36" s="1565" t="str">
        <f>IF(B35="场地未平整","估价结果处理","")</f>
        <v/>
      </c>
      <c r="H36" s="3515"/>
      <c r="I36" s="3515"/>
      <c r="J36" s="3010"/>
      <c r="K36" s="2997"/>
      <c r="L36" s="2989"/>
      <c r="M36" s="2989"/>
      <c r="N36" s="2990"/>
      <c r="O36" s="2991"/>
      <c r="P36" s="2990"/>
      <c r="Q36" s="2990"/>
      <c r="R36" s="2990"/>
      <c r="S36" s="2990"/>
      <c r="T36" s="2990"/>
      <c r="U36" s="2990"/>
    </row>
    <row r="37" spans="1:28" ht="32">
      <c r="A37" s="3503"/>
      <c r="B37" s="3533"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ht="16">
      <c r="A38" s="3503"/>
      <c r="B38" s="3534"/>
      <c r="C38" s="1550" t="s">
        <v>825</v>
      </c>
      <c r="D38" s="1658">
        <f>ROUNDDOWN(MIN(('数据-取费表'!$B$2-D37)/365,D34),1)</f>
        <v>122.8</v>
      </c>
      <c r="E38" s="1601" t="s">
        <v>826</v>
      </c>
      <c r="F38" s="3010"/>
      <c r="G38" s="3010"/>
      <c r="H38" s="3010"/>
      <c r="I38" s="3014"/>
      <c r="J38" s="3010"/>
      <c r="K38" s="2997"/>
      <c r="L38" s="2990"/>
      <c r="M38" s="2990"/>
      <c r="N38" s="2990"/>
      <c r="O38" s="2990"/>
      <c r="P38" s="2990"/>
      <c r="Q38" s="2990"/>
      <c r="R38" s="2990"/>
      <c r="S38" s="2990"/>
      <c r="T38" s="2990"/>
      <c r="U38" s="2990"/>
    </row>
    <row r="39" spans="1:28">
      <c r="A39" s="3504"/>
      <c r="B39" s="3535"/>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ht="16">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16" t="s">
        <v>1770</v>
      </c>
      <c r="T40" s="1605" t="str">
        <f>NUMBERSTRING(7-K40,1)&amp;"通"</f>
        <v>七通</v>
      </c>
      <c r="U40" s="2990"/>
    </row>
    <row r="41" spans="1:28">
      <c r="A41" s="1544"/>
      <c r="B41" s="3508" t="s">
        <v>1516</v>
      </c>
      <c r="C41" s="3508"/>
      <c r="D41" s="3508"/>
      <c r="E41" s="3508"/>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16"/>
      <c r="T41" s="1607" t="str">
        <f>IF(T40="一通",L41,IF(T40="二通",M41,IF(T40="三通",N41,IF(T40="四通",O41,IF(T40="五通",P41,IF(T40="六通",Q41,R41))))))</f>
        <v>、、、、、、</v>
      </c>
      <c r="U41" s="2990"/>
    </row>
    <row r="42" spans="1:28" ht="16">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ht="16">
      <c r="A43" s="2961" t="s">
        <v>1501</v>
      </c>
      <c r="B43" s="1611" t="s">
        <v>1383</v>
      </c>
      <c r="C43" s="1611"/>
      <c r="D43" s="1611"/>
      <c r="E43" s="1611" t="s">
        <v>1383</v>
      </c>
      <c r="F43" s="1612"/>
      <c r="G43" s="3010"/>
      <c r="H43" s="3010"/>
      <c r="I43" s="3014"/>
      <c r="J43" s="3010"/>
      <c r="K43" s="2993"/>
      <c r="L43" s="2989"/>
      <c r="M43" s="2989"/>
      <c r="N43" s="2990"/>
      <c r="O43" s="2991"/>
      <c r="P43" s="2990"/>
      <c r="Q43" s="2990"/>
      <c r="R43" s="2990"/>
      <c r="S43" s="2990"/>
      <c r="T43" s="2990"/>
      <c r="U43" s="2990"/>
    </row>
    <row r="44" spans="1:28" ht="16">
      <c r="A44" s="2961" t="s">
        <v>1502</v>
      </c>
      <c r="B44" s="1611" t="s">
        <v>3262</v>
      </c>
      <c r="C44" s="1611"/>
      <c r="D44" s="1611"/>
      <c r="E44" s="1659" t="s">
        <v>3208</v>
      </c>
      <c r="F44" s="1612"/>
      <c r="G44" s="3010"/>
      <c r="H44" s="3010"/>
      <c r="I44" s="3014"/>
      <c r="J44" s="3010"/>
      <c r="K44" s="2993"/>
      <c r="L44" s="2989"/>
      <c r="M44" s="2989"/>
      <c r="N44" s="2990"/>
      <c r="O44" s="2991"/>
      <c r="P44" s="2990"/>
      <c r="Q44" s="2990"/>
      <c r="R44" s="2990"/>
      <c r="S44" s="2990"/>
      <c r="T44" s="2990"/>
      <c r="U44" s="2990"/>
    </row>
    <row r="45" spans="1:28" s="2719" customFormat="1" ht="20"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32">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5" width="9.83203125" style="15" customWidth="1"/>
    <col min="16" max="16" width="9.6640625" style="15" customWidth="1"/>
    <col min="17" max="17" width="9.33203125" style="15" customWidth="1"/>
    <col min="18" max="18" width="9.1640625" style="15" customWidth="1"/>
    <col min="19" max="19" width="10.83203125" style="15" customWidth="1"/>
    <col min="20" max="21" width="10.6640625" style="15" customWidth="1"/>
    <col min="22" max="22" width="10.83203125" style="15" customWidth="1"/>
    <col min="23" max="27" width="10.6640625" style="15" customWidth="1"/>
    <col min="28" max="28" width="10.83203125" style="15" customWidth="1"/>
    <col min="29" max="29" width="11" style="15" bestFit="1" customWidth="1"/>
    <col min="30" max="30" width="10" style="15" bestFit="1" customWidth="1"/>
    <col min="31" max="31" width="9.6640625" style="15" customWidth="1"/>
    <col min="32" max="46" width="9.5" style="15" customWidth="1"/>
    <col min="47" max="47" width="18.1640625" style="15" customWidth="1"/>
    <col min="48" max="50" width="9.66406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3">
      <c r="A3" s="21">
        <f>'[2]数据-基础表'!$A$3</f>
        <v>52670.3</v>
      </c>
      <c r="B3" s="22">
        <f>IF(C3="否",G5-AT5,G5)</f>
        <v>83394.849999999991</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c r="A5" s="26" t="s">
        <v>168</v>
      </c>
      <c r="B5" s="959"/>
      <c r="C5" s="959"/>
      <c r="D5" s="966"/>
      <c r="E5" s="27" t="s">
        <v>1</v>
      </c>
      <c r="F5" s="27">
        <f>SUM(F13:F572)</f>
        <v>0</v>
      </c>
      <c r="G5" s="27">
        <f>SUM(G13:G572)</f>
        <v>83394.849999999991</v>
      </c>
      <c r="H5" s="27">
        <f t="shared" ref="H5:AT5" si="0">SUM(H13:H641)</f>
        <v>83394.849999999991</v>
      </c>
      <c r="I5" s="27">
        <f t="shared" si="0"/>
        <v>74951.23</v>
      </c>
      <c r="J5" s="27">
        <f t="shared" si="0"/>
        <v>0</v>
      </c>
      <c r="K5" s="27">
        <f t="shared" si="0"/>
        <v>8443.6200000000008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83394.849999999991</v>
      </c>
      <c r="BA5" s="29">
        <f t="shared" si="1"/>
        <v>83394.849999999991</v>
      </c>
      <c r="BB5" s="29">
        <f t="shared" si="1"/>
        <v>74951.23</v>
      </c>
      <c r="BC5" s="29">
        <f t="shared" si="1"/>
        <v>8443.6200000000008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c r="A6" s="26" t="s">
        <v>169</v>
      </c>
      <c r="B6" s="31"/>
      <c r="C6" s="31"/>
      <c r="D6" s="32"/>
      <c r="E6" s="27">
        <f>H6+AC6+AT6</f>
        <v>52670.3</v>
      </c>
      <c r="F6" s="27" t="s">
        <v>1</v>
      </c>
      <c r="G6" s="27" t="s">
        <v>2</v>
      </c>
      <c r="H6" s="33">
        <f>SUMIF(I$12:AB$12,"总值",I6:AB6)</f>
        <v>52670.3</v>
      </c>
      <c r="I6" s="27">
        <f t="shared" ref="I6:AB6" si="2">ROUND($A$3*I5/$B$3,2)</f>
        <v>47337.5</v>
      </c>
      <c r="J6" s="27">
        <f t="shared" si="2"/>
        <v>0</v>
      </c>
      <c r="K6" s="27">
        <f t="shared" si="2"/>
        <v>5332.8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52670.3</v>
      </c>
      <c r="AZ6" s="27" t="s">
        <v>3</v>
      </c>
      <c r="BA6" s="27">
        <f>ROUND($AY$6*BA5/$AZ$5,2)</f>
        <v>52670.3</v>
      </c>
      <c r="BB6" s="27">
        <f>ROUND($AY$6*BB5/$AZ$5,2)</f>
        <v>47337.5</v>
      </c>
      <c r="BC6" s="27">
        <f t="shared" ref="BC6:BH6" si="4">ROUND($AY$6*BC5/$AZ$5,2)</f>
        <v>5332.8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c r="A9" s="45"/>
      <c r="B9" s="45"/>
      <c r="C9" s="45"/>
      <c r="D9" s="45"/>
      <c r="E9" s="45"/>
      <c r="F9" s="45"/>
      <c r="G9" s="55"/>
      <c r="H9" s="58" t="s">
        <v>188</v>
      </c>
      <c r="I9" s="2680" t="s">
        <v>3188</v>
      </c>
      <c r="J9" s="51"/>
      <c r="K9" s="2680" t="s">
        <v>3188</v>
      </c>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c r="A10" s="45"/>
      <c r="B10" s="45"/>
      <c r="C10" s="45"/>
      <c r="D10" s="45"/>
      <c r="E10" s="45"/>
      <c r="F10" s="45"/>
      <c r="G10" s="55"/>
      <c r="H10" s="62"/>
      <c r="I10" s="2680" t="s">
        <v>897</v>
      </c>
      <c r="J10" s="51"/>
      <c r="K10" s="2682" t="s">
        <v>3207</v>
      </c>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c r="A13" s="2675"/>
      <c r="B13" s="2675"/>
      <c r="C13" s="2675"/>
      <c r="D13" s="2676" t="s">
        <v>1473</v>
      </c>
      <c r="E13" s="27">
        <f t="shared" ref="E13:E20" si="6">IF($C$3="是",ROUND($A$3*G13/$B$3,2),ROUND($A$3*(G13-AT13)/$B$3,2))</f>
        <v>52670.3</v>
      </c>
      <c r="F13" s="81"/>
      <c r="G13" s="82">
        <f t="shared" ref="G13:G20" si="7">H13+AC13+AT13</f>
        <v>83394.849999999991</v>
      </c>
      <c r="H13" s="33">
        <f t="shared" ref="H13:H20" si="8">SUMIF(I$12:AB$12,"总值",I13:AB13)</f>
        <v>83394.849999999991</v>
      </c>
      <c r="I13" s="2679">
        <f>规划条件!N17</f>
        <v>74951.23</v>
      </c>
      <c r="J13" s="2679"/>
      <c r="K13" s="2679">
        <f>规划条件!N18</f>
        <v>8443.6200000000008</v>
      </c>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52670.3</v>
      </c>
      <c r="AZ13" s="27">
        <f t="shared" ref="AZ13:AZ20" si="12">BA13+BL13</f>
        <v>83394.849999999991</v>
      </c>
      <c r="BA13" s="27">
        <f t="shared" ref="BA13:BA20" si="13">SUM(BB13:BK13)</f>
        <v>83394.849999999991</v>
      </c>
      <c r="BB13" s="27">
        <f t="shared" ref="BB13:BB20" si="14">IF($D13="是",I13-J13,0)</f>
        <v>74951.23</v>
      </c>
      <c r="BC13" s="27">
        <f t="shared" ref="BC13:BC20" si="15">IF($D13="是",K13-L13,0)</f>
        <v>8443.6200000000008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6">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6">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6">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6">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6">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6">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6">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6">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6">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6">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6">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6">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6">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6">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6">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6">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6">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6">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6">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6">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6">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6">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6">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6">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6">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6">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6">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6">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6">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6">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6">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6">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6">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6">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6">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6">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6">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6">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6">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6">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6">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6">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6">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6">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6">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6">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6">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6">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6">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6">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6">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6">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6">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6">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6">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6">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6">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6">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6">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6">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6">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6">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6">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6">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6">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6">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6">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6">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6">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6">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6">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6">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6">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6">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6">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6">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6">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6">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6">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6">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6">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6">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6">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6">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6">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6">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6">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6">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6">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6">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6">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6">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6">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6">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6">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6">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6">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6">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6">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6">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6">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6">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6">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6">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6">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6">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6">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6">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6">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6">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6">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6">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6">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6">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6">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6">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6">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6">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6">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6">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6">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6">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6">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6">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6">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6">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6">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6">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6">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6">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6">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6">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6">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6">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6">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6">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6">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6">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6">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6">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6">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6">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6">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6">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6">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6">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6">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6">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6">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6">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6">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6">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6">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6">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6">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6">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6">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6">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6">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6">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6">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6">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6">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6">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6">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6">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6">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6">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6">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6">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6">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6">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6">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6">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6">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6">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6">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6">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6">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6">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6">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6">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6">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6">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6">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6">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6">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6">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6">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6">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6">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6">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6">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6">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6">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6">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6">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6">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6">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6">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6">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6">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6">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6">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6">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6">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6">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6">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6">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6">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6">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6">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6">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6640625" style="2" customWidth="1"/>
    <col min="4" max="7" width="9.5" style="2" bestFit="1" customWidth="1"/>
    <col min="8" max="13" width="9.1640625" style="2" bestFit="1" customWidth="1"/>
    <col min="14" max="16384" width="9" style="2"/>
  </cols>
  <sheetData>
    <row r="1" spans="1:13" ht="16">
      <c r="A1" s="3544" t="s">
        <v>0</v>
      </c>
      <c r="B1" s="3544" t="s">
        <v>4</v>
      </c>
      <c r="C1" s="3544" t="s">
        <v>5</v>
      </c>
      <c r="D1" s="3545" t="s">
        <v>40</v>
      </c>
      <c r="E1" s="3545" t="s">
        <v>41</v>
      </c>
      <c r="F1" s="3545"/>
      <c r="G1" s="3545"/>
      <c r="H1" s="3545"/>
      <c r="I1" s="3545"/>
      <c r="J1" s="3545"/>
      <c r="K1" s="3545"/>
      <c r="L1" s="3545"/>
      <c r="M1" s="3545"/>
    </row>
    <row r="2" spans="1:13" ht="27" customHeight="1">
      <c r="A2" s="3544"/>
      <c r="B2" s="3544"/>
      <c r="C2" s="3544"/>
      <c r="D2" s="3545"/>
      <c r="E2" s="3545" t="s">
        <v>24</v>
      </c>
      <c r="F2" s="3545" t="s">
        <v>25</v>
      </c>
      <c r="G2" s="3545"/>
      <c r="H2" s="3545"/>
      <c r="I2" s="3545"/>
      <c r="J2" s="3545" t="s">
        <v>26</v>
      </c>
      <c r="K2" s="3545"/>
      <c r="L2" s="3545"/>
      <c r="M2" s="3545"/>
    </row>
    <row r="3" spans="1:13" ht="34">
      <c r="A3" s="3544"/>
      <c r="B3" s="3544"/>
      <c r="C3" s="3544"/>
      <c r="D3" s="3545"/>
      <c r="E3" s="3545"/>
      <c r="F3" s="3" t="s">
        <v>27</v>
      </c>
      <c r="G3" s="3" t="s">
        <v>22</v>
      </c>
      <c r="H3" s="3" t="s">
        <v>23</v>
      </c>
      <c r="I3" s="3" t="s">
        <v>36</v>
      </c>
      <c r="J3" s="3" t="s">
        <v>27</v>
      </c>
      <c r="K3" s="3" t="s">
        <v>38</v>
      </c>
      <c r="L3" s="3" t="s">
        <v>37</v>
      </c>
      <c r="M3" s="3" t="s">
        <v>39</v>
      </c>
    </row>
    <row r="4" spans="1:13" ht="51">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51">
      <c r="A5" s="3" t="s">
        <v>28</v>
      </c>
      <c r="B5" s="3" t="s">
        <v>31</v>
      </c>
      <c r="C5" s="3" t="s">
        <v>32</v>
      </c>
      <c r="D5" s="4">
        <v>3667.86</v>
      </c>
      <c r="E5" s="4">
        <v>19906.61</v>
      </c>
      <c r="F5" s="4">
        <v>18792.87</v>
      </c>
      <c r="G5" s="4">
        <v>18792.87</v>
      </c>
      <c r="H5" s="4">
        <v>0</v>
      </c>
      <c r="I5" s="4">
        <v>0</v>
      </c>
      <c r="J5" s="4">
        <v>1113.74</v>
      </c>
      <c r="K5" s="4">
        <v>55.59</v>
      </c>
      <c r="L5" s="4">
        <v>0</v>
      </c>
      <c r="M5" s="4">
        <v>1058.1500000000001</v>
      </c>
    </row>
    <row r="6" spans="1:13" ht="51">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51">
      <c r="A7" s="3" t="s">
        <v>28</v>
      </c>
      <c r="B7" s="3" t="s">
        <v>31</v>
      </c>
      <c r="C7" s="3" t="s">
        <v>34</v>
      </c>
      <c r="D7" s="4">
        <v>8.18</v>
      </c>
      <c r="E7" s="4">
        <v>44.41</v>
      </c>
      <c r="F7" s="4">
        <v>0</v>
      </c>
      <c r="G7" s="4">
        <v>0</v>
      </c>
      <c r="H7" s="4">
        <v>0</v>
      </c>
      <c r="I7" s="4">
        <v>0</v>
      </c>
      <c r="J7" s="4">
        <v>44.41</v>
      </c>
      <c r="K7" s="4">
        <v>44.41</v>
      </c>
      <c r="L7" s="4">
        <v>0</v>
      </c>
      <c r="M7" s="4">
        <v>0</v>
      </c>
    </row>
    <row r="8" spans="1:13" ht="51">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5" t="s">
        <v>42</v>
      </c>
      <c r="B9" s="3545"/>
      <c r="C9" s="35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39" sqref="I39"/>
    </sheetView>
  </sheetViews>
  <sheetFormatPr baseColWidth="10" defaultColWidth="9.1640625" defaultRowHeight="14"/>
  <cols>
    <col min="1" max="1" width="8.1640625" style="1851" customWidth="1"/>
    <col min="2" max="2" width="10.1640625" style="1851" customWidth="1"/>
    <col min="3" max="3" width="18.5" style="1851" customWidth="1"/>
    <col min="4" max="4" width="11.1640625" style="1851" customWidth="1"/>
    <col min="5" max="5" width="13.33203125" style="1851" customWidth="1"/>
    <col min="6" max="8" width="11.5" style="1851" customWidth="1"/>
    <col min="9" max="9" width="10.33203125" style="1851" customWidth="1"/>
    <col min="10" max="10" width="3.1640625" style="1851" customWidth="1"/>
    <col min="11" max="16" width="11.6640625" style="1851" customWidth="1"/>
    <col min="17" max="17" width="3.33203125" style="1851" customWidth="1"/>
    <col min="18" max="16384" width="9.1640625" style="1851"/>
  </cols>
  <sheetData>
    <row r="1" spans="1:16" ht="18">
      <c r="A1" s="104" t="s">
        <v>202</v>
      </c>
      <c r="B1" s="1850"/>
      <c r="C1" s="1850"/>
      <c r="D1" s="1850"/>
      <c r="E1" s="1850"/>
      <c r="F1" s="1850"/>
      <c r="G1" s="1850"/>
      <c r="H1" s="1850"/>
      <c r="I1" s="1850"/>
      <c r="J1" s="1850"/>
      <c r="K1" s="1850"/>
      <c r="L1" s="1850"/>
      <c r="M1" s="1850"/>
      <c r="N1" s="1850"/>
      <c r="O1" s="1850"/>
      <c r="P1" s="1850"/>
    </row>
    <row r="2" spans="1:16" ht="15">
      <c r="A2" s="3555" t="s">
        <v>203</v>
      </c>
      <c r="B2" s="3555"/>
      <c r="C2" s="3555"/>
      <c r="D2" s="1841" t="s">
        <v>204</v>
      </c>
      <c r="E2" s="106" t="s">
        <v>205</v>
      </c>
      <c r="F2" s="3019"/>
      <c r="G2" s="1144"/>
      <c r="H2" s="1145"/>
      <c r="I2" s="1146" t="s">
        <v>832</v>
      </c>
      <c r="J2" s="3019"/>
      <c r="K2" s="3019"/>
      <c r="L2" s="3019"/>
      <c r="M2" s="3019"/>
      <c r="N2" s="3019"/>
      <c r="O2" s="3019"/>
      <c r="P2" s="3019"/>
    </row>
    <row r="3" spans="1:16" ht="15" thickBot="1">
      <c r="A3" s="3556" t="s">
        <v>206</v>
      </c>
      <c r="B3" s="3556"/>
      <c r="C3" s="3556"/>
      <c r="D3" s="107">
        <f>'数据-基础表'!AY6</f>
        <v>52670.3</v>
      </c>
      <c r="E3" s="107">
        <f>'数据-基础表'!AZ5</f>
        <v>83394.849999999991</v>
      </c>
      <c r="F3" s="3019"/>
      <c r="G3" s="278" t="s">
        <v>833</v>
      </c>
      <c r="H3" s="273" t="s">
        <v>834</v>
      </c>
      <c r="I3" s="1842">
        <f>ROUND('数据-基础表'!B3/'数据-基础表'!A3,2)</f>
        <v>1.58</v>
      </c>
      <c r="J3" s="3019"/>
      <c r="K3" s="3019"/>
      <c r="L3" s="3019"/>
      <c r="M3" s="3019"/>
      <c r="N3" s="3019"/>
      <c r="O3" s="3019"/>
      <c r="P3" s="3019"/>
    </row>
    <row r="4" spans="1:16">
      <c r="A4" s="3557"/>
      <c r="B4" s="3558"/>
      <c r="C4" s="3559"/>
      <c r="D4" s="108" t="s">
        <v>204</v>
      </c>
      <c r="E4" s="109" t="s">
        <v>205</v>
      </c>
      <c r="F4" s="3019"/>
      <c r="G4" s="1147"/>
      <c r="H4" s="273" t="s">
        <v>835</v>
      </c>
      <c r="I4" s="1842">
        <f>ROUND(SUMIF('数据-基础表'!I9:AS9,"地上",'数据-基础表'!I5:AS5)/'数据-基础表'!A3,2)</f>
        <v>1.58</v>
      </c>
      <c r="J4" s="3019"/>
      <c r="K4" s="3019"/>
      <c r="L4" s="3019"/>
      <c r="M4" s="3019"/>
      <c r="N4" s="3019"/>
      <c r="O4" s="3019"/>
      <c r="P4" s="3019"/>
    </row>
    <row r="5" spans="1:16">
      <c r="A5" s="110" t="s">
        <v>207</v>
      </c>
      <c r="B5" s="3560" t="s">
        <v>230</v>
      </c>
      <c r="C5" s="3560"/>
      <c r="D5" s="111">
        <f>ROUND($D$3*E5/$E$3,2)</f>
        <v>47337.5</v>
      </c>
      <c r="E5" s="112">
        <f>SUMIF('数据-基础表'!$11:$11,"住宅",'数据-基础表'!$5:$5)</f>
        <v>74951.23</v>
      </c>
      <c r="F5" s="3019"/>
      <c r="G5" s="278" t="s">
        <v>836</v>
      </c>
      <c r="H5" s="273" t="s">
        <v>834</v>
      </c>
      <c r="I5" s="1842">
        <f>ROUND(E31/D31,2)</f>
        <v>1.58</v>
      </c>
      <c r="J5" s="3019"/>
      <c r="K5" s="3019"/>
      <c r="L5" s="3019"/>
      <c r="M5" s="3019"/>
      <c r="N5" s="3019"/>
      <c r="O5" s="3019"/>
      <c r="P5" s="3019"/>
    </row>
    <row r="6" spans="1:16" ht="15" thickBot="1">
      <c r="A6" s="113"/>
      <c r="B6" s="3560" t="s">
        <v>208</v>
      </c>
      <c r="C6" s="3560"/>
      <c r="D6" s="111">
        <f>ROUND($D$3*E6/$E$3,2)</f>
        <v>5332.8</v>
      </c>
      <c r="E6" s="112">
        <f>E3-E5</f>
        <v>8443.6199999999953</v>
      </c>
      <c r="F6" s="3019"/>
      <c r="G6" s="1147"/>
      <c r="H6" s="273" t="s">
        <v>835</v>
      </c>
      <c r="I6" s="1842">
        <f>ROUND(F31/D31,2)</f>
        <v>1.58</v>
      </c>
      <c r="J6" s="3019"/>
      <c r="K6" s="3019"/>
      <c r="L6" s="3019"/>
      <c r="M6" s="3019"/>
      <c r="N6" s="3019"/>
      <c r="O6" s="3019"/>
      <c r="P6" s="3019"/>
    </row>
    <row r="7" spans="1:16">
      <c r="A7" s="3552"/>
      <c r="B7" s="3553"/>
      <c r="C7" s="3554"/>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52670.3</v>
      </c>
      <c r="E8" s="116">
        <f>SUMIF('数据-基础表'!BB10:BK10,"地上",'数据-基础表'!BB5:BK5)</f>
        <v>83394.849999999991</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6" thickBot="1">
      <c r="A16" s="113"/>
      <c r="B16" s="118"/>
      <c r="C16" s="115" t="s">
        <v>215</v>
      </c>
      <c r="D16" s="115">
        <f>SUM(D8:D15)</f>
        <v>52670.3</v>
      </c>
      <c r="E16" s="120">
        <f>SUM(E8:E15)</f>
        <v>83394.849999999991</v>
      </c>
      <c r="F16" s="3019"/>
      <c r="G16" s="3020"/>
      <c r="H16" s="938" t="s">
        <v>219</v>
      </c>
      <c r="I16" s="939"/>
      <c r="J16" s="1850"/>
      <c r="K16" s="3546" t="s">
        <v>2338</v>
      </c>
      <c r="L16" s="3547"/>
      <c r="M16" s="3547"/>
      <c r="N16" s="3547"/>
      <c r="O16" s="3547"/>
      <c r="P16" s="3548"/>
    </row>
    <row r="17" spans="1:19">
      <c r="A17" s="121" t="s">
        <v>216</v>
      </c>
      <c r="B17" s="122" t="s">
        <v>217</v>
      </c>
      <c r="C17" s="2129" t="s">
        <v>2096</v>
      </c>
      <c r="D17" s="108" t="s">
        <v>204</v>
      </c>
      <c r="E17" s="124" t="s">
        <v>205</v>
      </c>
      <c r="F17" s="125"/>
      <c r="G17" s="1274"/>
      <c r="H17" s="940" t="s">
        <v>218</v>
      </c>
      <c r="I17" s="941" t="s">
        <v>2095</v>
      </c>
      <c r="J17" s="1850"/>
      <c r="K17" s="3549" t="s">
        <v>2339</v>
      </c>
      <c r="L17" s="3550"/>
      <c r="M17" s="3551"/>
      <c r="N17" s="3549" t="s">
        <v>2340</v>
      </c>
      <c r="O17" s="3550"/>
      <c r="P17" s="3551"/>
      <c r="R17" s="2130" t="s">
        <v>2094</v>
      </c>
      <c r="S17" s="142"/>
    </row>
    <row r="18" spans="1:19">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3209</v>
      </c>
      <c r="D19" s="111">
        <f t="shared" ref="D19:D26" si="1">ROUND($D$3*E19/$E$3,2)</f>
        <v>5332.8</v>
      </c>
      <c r="E19" s="134">
        <f t="shared" ref="E19:E26" si="2">SUM(F19:G19)</f>
        <v>8443.6200000000008</v>
      </c>
      <c r="F19" s="3021">
        <f>'数据-基础表'!K13</f>
        <v>8443.6200000000008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5332.8</v>
      </c>
      <c r="S19" s="2132">
        <f t="shared" si="5"/>
        <v>8443.6200000000008</v>
      </c>
    </row>
    <row r="20" spans="1:19">
      <c r="A20" s="137"/>
      <c r="B20" s="115" t="s">
        <v>226</v>
      </c>
      <c r="C20" s="2686" t="s">
        <v>3260</v>
      </c>
      <c r="D20" s="111">
        <f t="shared" si="1"/>
        <v>47337.5</v>
      </c>
      <c r="E20" s="134">
        <f t="shared" si="2"/>
        <v>74951.23</v>
      </c>
      <c r="F20" s="3021">
        <f>'数据-基础表'!I13</f>
        <v>74951.23</v>
      </c>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47337.5</v>
      </c>
      <c r="S20" s="2132">
        <f t="shared" si="5"/>
        <v>74951.23</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 thickBot="1">
      <c r="A27" s="137"/>
      <c r="B27" s="111"/>
      <c r="C27" s="127" t="s">
        <v>215</v>
      </c>
      <c r="D27" s="134">
        <f>SUM(D19:D26)</f>
        <v>52670.3</v>
      </c>
      <c r="E27" s="141">
        <f>IF(SUM(E19:E26)='数据-基础表'!BA5,SUM(E19:E26),IF(F27="地上面积有误","面积有误","地下面积有误"))</f>
        <v>83394.849999999991</v>
      </c>
      <c r="F27" s="134">
        <f>IF(SUM(F19:F26)=E8,SUM(F19:F26),"地上面积有误")</f>
        <v>83394.849999999991</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52670.3</v>
      </c>
      <c r="S27" s="273">
        <f>IF(SUM(S19:S26)=$E$3,SUM(S19:S26),SUM(S19:S26)&amp;"误差"&amp;ROUND(SUM(S19:S26)-E3,2))</f>
        <v>83394.849999999991</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52670.3</v>
      </c>
      <c r="E31" s="1278">
        <f>E27+E30</f>
        <v>83394.849999999991</v>
      </c>
      <c r="F31" s="1279">
        <f>F27+F30</f>
        <v>83394.849999999991</v>
      </c>
      <c r="G31" s="1280">
        <f>G27+G30</f>
        <v>0</v>
      </c>
      <c r="H31" s="3019"/>
      <c r="I31" s="3019"/>
      <c r="J31" s="3019"/>
      <c r="K31" s="3019"/>
      <c r="L31" s="3019"/>
      <c r="M31" s="3019"/>
      <c r="N31" s="3019"/>
      <c r="O31" s="3019"/>
      <c r="P31" s="3019"/>
    </row>
    <row r="32" spans="1:19">
      <c r="A32" s="1850"/>
      <c r="B32" s="2173" t="s">
        <v>2104</v>
      </c>
      <c r="C32" s="2437"/>
      <c r="D32" s="1147"/>
      <c r="E32" s="1147">
        <f>SUMIF(C19:C26,"*住宅*",E19:E26)</f>
        <v>74951.23</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6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K6" activePane="bottomRight" state="frozen"/>
      <selection pane="topRight" activeCell="D1" sqref="D1"/>
      <selection pane="bottomLeft" activeCell="A4" sqref="A4"/>
      <selection pane="bottomRight" activeCell="V7" sqref="V7"/>
    </sheetView>
  </sheetViews>
  <sheetFormatPr baseColWidth="10" defaultColWidth="13.6640625" defaultRowHeight="13"/>
  <cols>
    <col min="1" max="1" width="20.83203125" style="1162" customWidth="1"/>
    <col min="2" max="3" width="12" style="1149" customWidth="1"/>
    <col min="4" max="4" width="9.1640625" style="1163" customWidth="1"/>
    <col min="5" max="5" width="15" style="1149" bestFit="1" customWidth="1"/>
    <col min="6" max="10" width="8.83203125" style="1149" customWidth="1"/>
    <col min="11" max="12" width="12.33203125" style="1164" customWidth="1"/>
    <col min="13" max="13" width="8.6640625" style="1149" customWidth="1"/>
    <col min="14" max="16" width="9.6640625" style="1149" customWidth="1"/>
    <col min="17" max="17" width="10.83203125" style="1149" customWidth="1"/>
    <col min="18" max="19" width="12.5" style="1149" customWidth="1"/>
    <col min="20" max="20" width="12.1640625" style="1149" customWidth="1"/>
    <col min="21" max="21" width="7.5" style="1149" customWidth="1"/>
    <col min="22" max="22" width="6.33203125" style="1149" customWidth="1"/>
    <col min="23" max="24" width="6.6640625" style="1149" customWidth="1"/>
    <col min="25" max="25" width="8.1640625" style="1149" customWidth="1"/>
    <col min="26" max="30" width="6.6640625" style="1149" customWidth="1"/>
    <col min="31" max="31" width="6.5" style="1149" customWidth="1"/>
    <col min="32" max="34" width="7.1640625" style="1149" customWidth="1"/>
    <col min="35" max="39" width="8" style="1149" customWidth="1"/>
    <col min="40" max="41" width="13.6640625" style="1860"/>
    <col min="42" max="42" width="13.6640625" style="1860" customWidth="1"/>
    <col min="43" max="83" width="13.6640625" style="1860"/>
    <col min="84" max="16384" width="13.6640625" style="1149"/>
  </cols>
  <sheetData>
    <row r="1" spans="1:83" ht="20"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7" thickBot="1">
      <c r="A2" s="147" t="s">
        <v>235</v>
      </c>
      <c r="B2" s="2169">
        <f>项目基本情况!D3</f>
        <v>44826</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7"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3263</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
      <c r="A6" s="2133" t="str">
        <f>'数据-汇总表'!C19</f>
        <v>商业</v>
      </c>
      <c r="B6" s="2168" t="str">
        <f>IF(A6=0,"","经营性")</f>
        <v>经营性</v>
      </c>
      <c r="C6" s="171" t="s">
        <v>3207</v>
      </c>
      <c r="D6" s="2139">
        <f>SUMIF(项目基本情况!D$15:I$15,C6,项目基本情况!D$18:I$18)</f>
        <v>40</v>
      </c>
      <c r="E6" s="2140">
        <f>IF(B6="","",SUMIF(项目基本情况!D$15:I$15,C6,项目基本情况!D$17:I$17))</f>
        <v>59435</v>
      </c>
      <c r="F6" s="172">
        <f>SUMIF(项目基本情况!D$15:I$15,C6,项目基本情况!D$19:I$19)</f>
        <v>40</v>
      </c>
      <c r="G6" s="173">
        <f>IF(ISERROR(ROUND(POWER(1+H6,D6-F6)*(POWER(1+H6,F6)-1)/(POWER(1+H6,D6)-1),3)),0,ROUND(POWER(1+H6,D6-F6)*(POWER(1+H6,F6)-1)/(POWER(1+H6,D6)-1),3))</f>
        <v>1</v>
      </c>
      <c r="H6" s="2687">
        <v>0.04</v>
      </c>
      <c r="I6" s="2687">
        <v>0.05</v>
      </c>
      <c r="J6" s="174">
        <v>7.0000000000000007E-2</v>
      </c>
      <c r="K6" s="177">
        <f>SUMIF('数据-汇总表'!C$19:C$33,'数据-取费表'!A6,'数据-汇总表'!E$19:E$33)</f>
        <v>8443.6200000000008</v>
      </c>
      <c r="L6" s="2688">
        <v>4500</v>
      </c>
      <c r="M6" s="175">
        <f t="shared" ref="M6:M14" si="0">ROUND(K6*L6/10000,0)</f>
        <v>3800</v>
      </c>
      <c r="N6" s="2689"/>
      <c r="O6" s="175">
        <f>IF($N$5="成新度","——",ROUND(M6*N6,0))</f>
        <v>0</v>
      </c>
      <c r="P6" s="176">
        <f>IF($N$5="成新度","——",M6-O6)</f>
        <v>3800</v>
      </c>
      <c r="Q6" s="2690">
        <v>0.15</v>
      </c>
      <c r="R6" s="177">
        <f>SUMIF('数据-汇总表'!C$19:C$33,A6,'数据-汇总表'!R$19:R$33)</f>
        <v>5332.8</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v>0.03</v>
      </c>
      <c r="W6" s="179">
        <v>0.1</v>
      </c>
      <c r="X6" s="2152"/>
      <c r="Y6" s="180">
        <v>1</v>
      </c>
      <c r="Z6" s="181"/>
      <c r="AA6" s="174"/>
      <c r="AB6" s="174"/>
      <c r="AC6" s="2155"/>
      <c r="AD6" s="182"/>
      <c r="AE6" s="942">
        <f ca="1">IF(AN6="",0,SUMIF(INDIRECT("'"&amp;AN6&amp;"'"&amp;"!E:E"),$AE$5,INDIRECT("'"&amp;AN6&amp;"'"&amp;"!F:F")))</f>
        <v>0</v>
      </c>
      <c r="AF6" s="139"/>
      <c r="AG6" s="1159">
        <f>IF(AF6="",0,AE6-AF6)</f>
        <v>0</v>
      </c>
      <c r="AH6" s="139"/>
      <c r="AI6" s="185">
        <v>12</v>
      </c>
      <c r="AJ6" s="186"/>
      <c r="AK6" s="187">
        <v>1.4999999999999999E-2</v>
      </c>
      <c r="AL6" s="188">
        <v>1.5E-3</v>
      </c>
      <c r="AM6" s="2699">
        <v>0.01</v>
      </c>
      <c r="AN6" s="2198" t="s">
        <v>3265</v>
      </c>
      <c r="AO6" s="3029"/>
      <c r="AP6" s="1150">
        <f>ROUND(1-1/(1+H6)^F6,3)</f>
        <v>0.79200000000000004</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
      <c r="A7" s="2133" t="str">
        <f>'数据-汇总表'!C20</f>
        <v>住宅</v>
      </c>
      <c r="B7" s="2168" t="str">
        <f t="shared" ref="B7:B13" si="1">IF(A7=0,"","经营性")</f>
        <v>经营性</v>
      </c>
      <c r="C7" s="171" t="s">
        <v>897</v>
      </c>
      <c r="D7" s="2139">
        <f>SUMIF(项目基本情况!D$15:I$15,C7,项目基本情况!D$18:I$18)</f>
        <v>70</v>
      </c>
      <c r="E7" s="2140">
        <f>IF(B7="","",SUMIF(项目基本情况!D$15:I$15,C7,项目基本情况!D$17:I$17))</f>
        <v>70394</v>
      </c>
      <c r="F7" s="172">
        <f>SUMIF(项目基本情况!D$15:I$15,C7,项目基本情况!D$19:I$19)</f>
        <v>70</v>
      </c>
      <c r="G7" s="173">
        <f t="shared" ref="G7:G11" si="2">IF(ISERROR(ROUND(POWER(1+H7,D7-F7)*(POWER(1+H7,F7)-1)/(POWER(1+H7,D7)-1),3)),0,ROUND(POWER(1+H7,D7-F7)*(POWER(1+H7,F7)-1)/(POWER(1+H7,D7)-1),3))</f>
        <v>1</v>
      </c>
      <c r="H7" s="2687">
        <v>0.04</v>
      </c>
      <c r="I7" s="2687">
        <v>0.05</v>
      </c>
      <c r="J7" s="174">
        <v>7.0000000000000007E-2</v>
      </c>
      <c r="K7" s="177">
        <f>SUMIF('数据-汇总表'!C$19:C$33,'数据-取费表'!A7,'数据-汇总表'!E$19:E$33)</f>
        <v>74951.23</v>
      </c>
      <c r="L7" s="2688">
        <v>4500</v>
      </c>
      <c r="M7" s="175">
        <f t="shared" si="0"/>
        <v>33728</v>
      </c>
      <c r="N7" s="2689">
        <v>1</v>
      </c>
      <c r="O7" s="175">
        <f t="shared" ref="O7:O14" si="3">IF($N$5="成新度","——",ROUND(M7*N7,0))</f>
        <v>33728</v>
      </c>
      <c r="P7" s="176">
        <f t="shared" ref="P7:P14" si="4">IF($N$5="成新度","——",M7-O7)</f>
        <v>0</v>
      </c>
      <c r="Q7" s="2690">
        <v>0.15</v>
      </c>
      <c r="R7" s="177">
        <f>SUMIF('数据-汇总表'!C$19:C$33,A7,'数据-汇总表'!R$19:R$33)</f>
        <v>47337.5</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v>100</v>
      </c>
      <c r="V7" s="179">
        <v>0.02</v>
      </c>
      <c r="W7" s="179">
        <v>0.1</v>
      </c>
      <c r="X7" s="2152"/>
      <c r="Y7" s="180">
        <v>1</v>
      </c>
      <c r="Z7" s="181"/>
      <c r="AA7" s="174"/>
      <c r="AB7" s="174"/>
      <c r="AC7" s="2155"/>
      <c r="AD7" s="182"/>
      <c r="AE7" s="942">
        <f t="shared" ref="AE7:AE13" ca="1" si="6">IF(AN7="",0,SUMIF(INDIRECT("'"&amp;AN7&amp;"'"&amp;"!E:E"),$AE$5,INDIRECT("'"&amp;AN7&amp;"'"&amp;"!F:F")))</f>
        <v>70</v>
      </c>
      <c r="AF7" s="139"/>
      <c r="AG7" s="1159">
        <f t="shared" ref="AG7:AG13" si="7">IF(AF7="",0,AE7-AF7)</f>
        <v>0</v>
      </c>
      <c r="AH7" s="139">
        <f>'数据-汇总表'!F20</f>
        <v>74951.23</v>
      </c>
      <c r="AI7" s="185">
        <v>12</v>
      </c>
      <c r="AJ7" s="186"/>
      <c r="AK7" s="187">
        <v>1.4999999999999999E-2</v>
      </c>
      <c r="AL7" s="188">
        <v>1.5E-3</v>
      </c>
      <c r="AM7" s="2196">
        <v>0.01</v>
      </c>
      <c r="AN7" s="2198" t="s">
        <v>3264</v>
      </c>
      <c r="AO7" s="3029"/>
      <c r="AP7" s="1150">
        <f t="shared" ref="AP7:AP13" si="8">ROUND(1-1/(1+H7)^F7,3)</f>
        <v>0.93600000000000005</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30">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7"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83394.849999999991</v>
      </c>
      <c r="L16" s="204">
        <f>ROUND(M16*10000/SUM(K6:K14),0)</f>
        <v>4500</v>
      </c>
      <c r="M16" s="204">
        <f>SUM(M6:M14)</f>
        <v>37528</v>
      </c>
      <c r="N16" s="205">
        <f>ROUND(SUMPRODUCT(M6:M14,N6:N14)/M16,3)</f>
        <v>0.89900000000000002</v>
      </c>
      <c r="O16" s="204">
        <f>SUM(O6:O14)</f>
        <v>33728</v>
      </c>
      <c r="P16" s="204">
        <f>SUM(P6:P14)</f>
        <v>3800</v>
      </c>
      <c r="Q16" s="206">
        <f>ROUND(SUMPRODUCT(Q6:Q13,K6:K13)/SUMPRODUCT((Q6:Q13&gt;0)*(K6:K13)),2)</f>
        <v>0.15</v>
      </c>
      <c r="R16" s="2142">
        <f>SUM(R6:R13)</f>
        <v>52670.3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0.92100000000000004</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4"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7"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5">
      <c r="A19" s="215" t="s">
        <v>264</v>
      </c>
      <c r="B19" s="216">
        <v>1</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5">
      <c r="A20" s="217" t="s">
        <v>265</v>
      </c>
      <c r="B20" s="218">
        <v>2</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5">
      <c r="A21" s="219" t="s">
        <v>266</v>
      </c>
      <c r="B21" s="218">
        <v>1.5</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5">
      <c r="A22" s="217" t="s">
        <v>267</v>
      </c>
      <c r="B22" s="220">
        <f>B19+B20</f>
        <v>3</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5">
      <c r="A23" s="219" t="s">
        <v>268</v>
      </c>
      <c r="B23" s="220">
        <f>B19+B21</f>
        <v>2.5</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6" thickBot="1">
      <c r="A24" s="221" t="s">
        <v>269</v>
      </c>
      <c r="B24" s="222">
        <f>B20-B21</f>
        <v>0.5</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7"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30">
      <c r="A27" s="224" t="s">
        <v>2120</v>
      </c>
      <c r="B27" s="225">
        <v>200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30">
      <c r="A28" s="226" t="s">
        <v>2121</v>
      </c>
      <c r="B28" s="227">
        <v>155</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31"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30">
      <c r="A30" s="233" t="s">
        <v>273</v>
      </c>
      <c r="B30" s="948">
        <v>250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30">
      <c r="A31" s="226" t="s">
        <v>274</v>
      </c>
      <c r="B31" s="228">
        <f>B30-B32</f>
        <v>250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31"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5">
      <c r="A34" s="226" t="s">
        <v>279</v>
      </c>
      <c r="B34" s="231">
        <v>0.1</v>
      </c>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5">
      <c r="A35" s="226" t="s">
        <v>276</v>
      </c>
      <c r="B35" s="227">
        <v>180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6"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5">
      <c r="A37" s="233" t="s">
        <v>280</v>
      </c>
      <c r="B37" s="234">
        <v>0.02</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5">
      <c r="A38" s="226" t="s">
        <v>281</v>
      </c>
      <c r="B38" s="231">
        <v>0.02</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6" thickBot="1">
      <c r="A40" s="2291" t="s">
        <v>2229</v>
      </c>
      <c r="B40" s="2285">
        <f ca="1">存贷款利率!E2</f>
        <v>4.7500000000000001E-2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6"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6"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6"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30">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6"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baseColWidth="10" defaultColWidth="9" defaultRowHeight="14"/>
  <cols>
    <col min="1" max="1" width="9.5" style="3060" customWidth="1"/>
    <col min="2" max="2" width="23.5" style="3095" customWidth="1"/>
    <col min="3" max="3" width="32.1640625" style="3097" customWidth="1"/>
    <col min="4" max="4" width="2.6640625" style="3097" customWidth="1"/>
    <col min="5" max="5" width="5.83203125" style="3097" customWidth="1"/>
    <col min="6" max="6" width="23.6640625" style="3095" customWidth="1"/>
    <col min="7" max="7" width="33.33203125" style="3096" customWidth="1"/>
    <col min="8" max="8" width="11.83203125" style="3095" customWidth="1"/>
    <col min="9" max="9" width="16.6640625" style="3096" customWidth="1"/>
    <col min="10" max="10" width="2.6640625" style="3097" customWidth="1"/>
    <col min="11" max="11" width="11.83203125" style="3095" customWidth="1"/>
    <col min="12" max="12" width="16.6640625" style="3096" customWidth="1"/>
    <col min="13" max="13" width="2.6640625" style="3097" customWidth="1"/>
    <col min="14" max="14" width="11.83203125" style="3095" customWidth="1"/>
    <col min="15" max="15" width="16.6640625" style="3096" customWidth="1"/>
    <col min="16" max="16" width="2.6640625" style="3097" customWidth="1"/>
    <col min="17" max="17" width="11.83203125" style="3095" customWidth="1"/>
    <col min="18" max="18" width="16.6640625" style="3098" customWidth="1"/>
    <col min="19" max="16384" width="9" style="3060"/>
  </cols>
  <sheetData>
    <row r="1" spans="1:18" s="3054" customFormat="1" ht="18" thickBot="1">
      <c r="A1" s="3561" t="s">
        <v>1458</v>
      </c>
      <c r="B1" s="3562"/>
      <c r="C1" s="3562"/>
      <c r="D1" s="3562"/>
      <c r="E1" s="3562"/>
      <c r="F1" s="3562"/>
      <c r="G1" s="3562"/>
      <c r="H1" s="3049"/>
      <c r="I1" s="3050"/>
      <c r="J1" s="3051"/>
      <c r="K1" s="3049"/>
      <c r="L1" s="3050"/>
      <c r="M1" s="3051"/>
      <c r="N1" s="3049"/>
      <c r="O1" s="3050"/>
      <c r="P1" s="3051"/>
      <c r="Q1" s="3052"/>
      <c r="R1" s="3053"/>
    </row>
    <row r="2" spans="1:18" ht="15" thickBot="1">
      <c r="A2" s="3055"/>
      <c r="B2" s="3056"/>
      <c r="C2" s="3057" t="s">
        <v>1459</v>
      </c>
      <c r="D2" s="3058"/>
      <c r="E2" s="3055"/>
      <c r="F2" s="3059"/>
      <c r="G2" s="3057" t="s">
        <v>1460</v>
      </c>
      <c r="H2" s="3060"/>
      <c r="I2" s="3060"/>
      <c r="J2" s="3060"/>
      <c r="K2" s="3060"/>
      <c r="L2" s="3060"/>
      <c r="M2" s="3060"/>
      <c r="N2" s="3060"/>
      <c r="O2" s="3060"/>
      <c r="P2" s="3060"/>
      <c r="Q2" s="3060"/>
      <c r="R2" s="3060"/>
    </row>
    <row r="3" spans="1:18" ht="4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30">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31"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ht="15">
      <c r="A8" s="3065"/>
      <c r="B8" s="3068" t="s">
        <v>2319</v>
      </c>
      <c r="C8" s="3072" t="s">
        <v>2671</v>
      </c>
      <c r="D8" s="3073"/>
      <c r="E8" s="3073"/>
      <c r="F8" s="3077"/>
      <c r="G8" s="3077"/>
      <c r="H8" s="3060"/>
      <c r="I8" s="3060"/>
      <c r="J8" s="3060"/>
      <c r="K8" s="3060"/>
      <c r="L8" s="3060"/>
      <c r="M8" s="3060"/>
      <c r="N8" s="3060"/>
      <c r="O8" s="3060"/>
      <c r="P8" s="3060"/>
      <c r="Q8" s="3060"/>
      <c r="R8" s="3060"/>
    </row>
    <row r="9" spans="1:18" ht="30">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6"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7">
      <c r="A12" s="3085"/>
      <c r="B12" s="3073"/>
      <c r="C12" s="3064"/>
      <c r="D12" s="3087"/>
      <c r="E12" s="3064"/>
      <c r="F12" s="3073"/>
      <c r="G12" s="3086"/>
      <c r="H12" s="3088"/>
      <c r="I12" s="3089"/>
      <c r="J12" s="3088"/>
      <c r="K12" s="3088"/>
      <c r="L12" s="3090"/>
      <c r="M12" s="3088"/>
      <c r="N12" s="3091"/>
      <c r="O12" s="3092"/>
      <c r="P12" s="3093"/>
      <c r="Q12" s="3091"/>
      <c r="R12" s="3053"/>
    </row>
    <row r="13" spans="1:18" ht="18" thickBot="1">
      <c r="A13" s="3094" t="s">
        <v>1467</v>
      </c>
      <c r="B13" s="3087"/>
      <c r="C13" s="3087"/>
      <c r="D13" s="3058"/>
      <c r="E13" s="3087"/>
      <c r="F13" s="3087"/>
      <c r="G13" s="3087"/>
    </row>
    <row r="14" spans="1:18" ht="16" thickBot="1">
      <c r="A14" s="3099"/>
      <c r="B14" s="3099"/>
      <c r="C14" s="3100" t="s">
        <v>1459</v>
      </c>
      <c r="D14" s="3064"/>
      <c r="E14" s="3101"/>
      <c r="F14" s="3101"/>
      <c r="G14" s="3057" t="s">
        <v>1460</v>
      </c>
    </row>
    <row r="15" spans="1:18" ht="4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30">
      <c r="A17" s="3107"/>
      <c r="B17" s="3108" t="s">
        <v>1464</v>
      </c>
      <c r="C17" s="3109" t="str">
        <f>C5</f>
        <v>估价对象位于XX商圈，周边办公楼项目较多，入驻率高，办公集聚程度较好</v>
      </c>
      <c r="D17" s="3073"/>
      <c r="E17" s="3110"/>
      <c r="F17" s="3111" t="s">
        <v>1469</v>
      </c>
      <c r="G17" s="3113"/>
    </row>
    <row r="18" spans="1:7" ht="4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30">
      <c r="A19" s="3107"/>
      <c r="B19" s="3111" t="s">
        <v>1454</v>
      </c>
      <c r="C19" s="3113"/>
      <c r="D19" s="3064"/>
      <c r="E19" s="3110"/>
      <c r="F19" s="3068" t="s">
        <v>2318</v>
      </c>
      <c r="G19" s="3112" t="str">
        <f>G5</f>
        <v>估价对象所在区域公共配套设施齐备情况</v>
      </c>
    </row>
    <row r="20" spans="1:7" ht="30">
      <c r="A20" s="3107"/>
      <c r="B20" s="3111" t="s">
        <v>1455</v>
      </c>
      <c r="C20" s="3109" t="str">
        <f>C9</f>
        <v>区域自然环境：；人文环境；综合评价环境状况一般</v>
      </c>
      <c r="D20" s="3073"/>
      <c r="E20" s="3110"/>
      <c r="F20" s="3068" t="s">
        <v>2319</v>
      </c>
      <c r="G20" s="3112" t="str">
        <f>G6</f>
        <v>估价对象所在区域基础设施水平</v>
      </c>
    </row>
    <row r="21" spans="1:7" ht="30">
      <c r="A21" s="3107"/>
      <c r="B21" s="3068" t="s">
        <v>2318</v>
      </c>
      <c r="C21" s="3112" t="str">
        <f>C7</f>
        <v>估价对象所在区域公共配套设施齐备情况</v>
      </c>
      <c r="D21" s="3064"/>
      <c r="E21" s="3110"/>
      <c r="F21" s="3111" t="s">
        <v>1456</v>
      </c>
      <c r="G21" s="3114"/>
    </row>
    <row r="22" spans="1:7" ht="15">
      <c r="A22" s="3107"/>
      <c r="B22" s="3068" t="s">
        <v>2319</v>
      </c>
      <c r="C22" s="3112" t="str">
        <f>C8</f>
        <v>估价对象所在区域基础设施水平</v>
      </c>
      <c r="D22" s="3064"/>
      <c r="E22" s="3110"/>
      <c r="F22" s="3111" t="s">
        <v>1466</v>
      </c>
      <c r="G22" s="3113"/>
    </row>
    <row r="23" spans="1:7" ht="16" thickBot="1">
      <c r="A23" s="3107"/>
      <c r="B23" s="3111" t="s">
        <v>1456</v>
      </c>
      <c r="C23" s="3114"/>
      <c r="E23" s="3115"/>
      <c r="F23" s="3116" t="s">
        <v>1470</v>
      </c>
      <c r="G23" s="3117"/>
    </row>
    <row r="24" spans="1:7" ht="16"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baseColWidth="10" defaultColWidth="14.6640625" defaultRowHeight="14"/>
  <cols>
    <col min="1" max="1" width="24.33203125" style="3123" customWidth="1"/>
    <col min="2" max="16384" width="14.6640625" style="3123"/>
  </cols>
  <sheetData>
    <row r="1" spans="1:10" ht="18">
      <c r="A1" s="3122" t="s">
        <v>2611</v>
      </c>
      <c r="B1" s="3122">
        <f>SUM(B14:B23)</f>
        <v>83394.849999999991</v>
      </c>
      <c r="C1" s="3131"/>
      <c r="D1" s="3131"/>
      <c r="E1" s="3131"/>
      <c r="F1" s="3131"/>
      <c r="G1" s="3132"/>
      <c r="H1" s="3132"/>
      <c r="I1" s="3132"/>
      <c r="J1" s="3132"/>
    </row>
    <row r="2" spans="1:10" ht="18">
      <c r="A2" s="3122" t="s">
        <v>2612</v>
      </c>
      <c r="B2" s="3122">
        <f>SUM(C14:C23)</f>
        <v>52670.3</v>
      </c>
      <c r="C2" s="3131"/>
      <c r="D2" s="3131"/>
      <c r="E2" s="3131"/>
      <c r="F2" s="3131"/>
      <c r="G2" s="3132"/>
      <c r="H2" s="3132"/>
      <c r="I2" s="3132"/>
      <c r="J2" s="3132"/>
    </row>
    <row r="3" spans="1:10" ht="18">
      <c r="A3" s="3122" t="s">
        <v>2613</v>
      </c>
      <c r="B3" s="3124">
        <f>项目基本情况!D3</f>
        <v>44826</v>
      </c>
      <c r="C3" s="3131"/>
      <c r="D3" s="3131"/>
      <c r="E3" s="3131"/>
      <c r="F3" s="3131"/>
      <c r="G3" s="3132"/>
      <c r="H3" s="3132"/>
      <c r="I3" s="3132"/>
      <c r="J3" s="3132"/>
    </row>
    <row r="4" spans="1:10" ht="36">
      <c r="A4" s="3122" t="s">
        <v>2614</v>
      </c>
      <c r="B4" s="3122" t="s">
        <v>2615</v>
      </c>
      <c r="C4" s="3122" t="s">
        <v>2616</v>
      </c>
      <c r="D4" s="3122" t="s">
        <v>2617</v>
      </c>
      <c r="E4" s="3131"/>
      <c r="F4" s="3131"/>
      <c r="G4" s="3132"/>
      <c r="H4" s="3132"/>
      <c r="I4" s="3132"/>
      <c r="J4" s="3132"/>
    </row>
    <row r="5" spans="1:10" ht="18">
      <c r="A5" s="3122" t="s">
        <v>2618</v>
      </c>
      <c r="B5" s="3122">
        <f ca="1">SUM(D14:D23)</f>
        <v>90155</v>
      </c>
      <c r="C5" s="3122">
        <f ca="1">ROUND(B5*10000/$B$1,0)</f>
        <v>10811</v>
      </c>
      <c r="D5" s="3122">
        <f ca="1">ROUND(B5*10000/$B$2,0)</f>
        <v>17117</v>
      </c>
      <c r="E5" s="3131"/>
      <c r="F5" s="3131"/>
      <c r="G5" s="3132"/>
      <c r="H5" s="3132"/>
      <c r="I5" s="3132"/>
      <c r="J5" s="3132"/>
    </row>
    <row r="6" spans="1:10" ht="18">
      <c r="A6" s="3122" t="s">
        <v>2619</v>
      </c>
      <c r="B6" s="3122">
        <f>SUM(G14:G23)</f>
        <v>0</v>
      </c>
      <c r="C6" s="3122">
        <f t="shared" ref="C6:C8" si="0">ROUND(B6*10000/$B$1,0)</f>
        <v>0</v>
      </c>
      <c r="D6" s="3122">
        <f t="shared" ref="D6:D8" si="1">ROUND(B6*10000/$B$2,0)</f>
        <v>0</v>
      </c>
      <c r="E6" s="3131"/>
      <c r="F6" s="3131"/>
      <c r="G6" s="3132"/>
      <c r="H6" s="3132"/>
      <c r="I6" s="3132"/>
      <c r="J6" s="3132"/>
    </row>
    <row r="7" spans="1:10" ht="18">
      <c r="A7" s="3122" t="s">
        <v>2620</v>
      </c>
      <c r="B7" s="3122">
        <f>SUM(H14:H23)</f>
        <v>0</v>
      </c>
      <c r="C7" s="3122">
        <f t="shared" si="0"/>
        <v>0</v>
      </c>
      <c r="D7" s="3122">
        <f t="shared" si="1"/>
        <v>0</v>
      </c>
      <c r="E7" s="3131"/>
      <c r="F7" s="3131"/>
      <c r="G7" s="3132"/>
      <c r="H7" s="3132"/>
      <c r="I7" s="3132"/>
      <c r="J7" s="3132"/>
    </row>
    <row r="8" spans="1:10" ht="18">
      <c r="A8" s="3122" t="s">
        <v>2621</v>
      </c>
      <c r="B8" s="3122">
        <f>SUM(I14:I23)</f>
        <v>0</v>
      </c>
      <c r="C8" s="3122">
        <f t="shared" si="0"/>
        <v>0</v>
      </c>
      <c r="D8" s="3122">
        <f t="shared" si="1"/>
        <v>0</v>
      </c>
      <c r="E8" s="3131"/>
      <c r="F8" s="3131"/>
      <c r="G8" s="3132"/>
      <c r="H8" s="3132"/>
      <c r="I8" s="3132"/>
      <c r="J8" s="3132"/>
    </row>
    <row r="9" spans="1:10" ht="18">
      <c r="A9" s="3122" t="s">
        <v>2622</v>
      </c>
      <c r="B9" s="3130"/>
      <c r="C9" s="3131"/>
      <c r="D9" s="3131"/>
      <c r="E9" s="3131"/>
      <c r="F9" s="3131"/>
      <c r="G9" s="3132"/>
      <c r="H9" s="3132"/>
      <c r="I9" s="3132"/>
      <c r="J9" s="3132"/>
    </row>
    <row r="10" spans="1:10" ht="18">
      <c r="A10" s="3122" t="s">
        <v>2623</v>
      </c>
      <c r="B10" s="3130"/>
      <c r="C10" s="3131"/>
      <c r="D10" s="3131"/>
      <c r="E10" s="3131"/>
      <c r="F10" s="3131"/>
      <c r="G10" s="3132"/>
      <c r="H10" s="3132"/>
      <c r="I10" s="3132"/>
      <c r="J10" s="3132"/>
    </row>
    <row r="11" spans="1:10" ht="18">
      <c r="A11" s="3122" t="s">
        <v>2640</v>
      </c>
      <c r="B11" s="3130"/>
      <c r="C11" s="3131"/>
      <c r="D11" s="3131"/>
      <c r="E11" s="3131"/>
      <c r="F11" s="3131"/>
      <c r="G11" s="3132"/>
      <c r="H11" s="3132"/>
      <c r="I11" s="3132"/>
      <c r="J11" s="3132"/>
    </row>
    <row r="12" spans="1:10" ht="17">
      <c r="A12" s="3131"/>
      <c r="B12" s="3131"/>
      <c r="C12" s="3131"/>
      <c r="D12" s="3131"/>
      <c r="E12" s="3131"/>
      <c r="F12" s="3131"/>
      <c r="G12" s="3132"/>
      <c r="H12" s="3132"/>
      <c r="I12" s="3132"/>
      <c r="J12" s="3132"/>
    </row>
    <row r="13" spans="1:10" ht="36">
      <c r="A13" s="3125" t="s">
        <v>2639</v>
      </c>
      <c r="B13" s="3126" t="s">
        <v>2611</v>
      </c>
      <c r="C13" s="3126" t="s">
        <v>2612</v>
      </c>
      <c r="D13" s="3126" t="s">
        <v>2624</v>
      </c>
      <c r="E13" s="3122" t="s">
        <v>2638</v>
      </c>
      <c r="F13" s="3122" t="s">
        <v>2617</v>
      </c>
      <c r="G13" s="3126" t="s">
        <v>2625</v>
      </c>
      <c r="H13" s="3126" t="s">
        <v>2626</v>
      </c>
      <c r="I13" s="3126" t="s">
        <v>2627</v>
      </c>
      <c r="J13" s="3132"/>
    </row>
    <row r="14" spans="1:10" ht="18">
      <c r="A14" s="3127" t="s">
        <v>2637</v>
      </c>
      <c r="B14" s="3128">
        <f>结果表!L38</f>
        <v>83394.849999999991</v>
      </c>
      <c r="C14" s="3128">
        <f>结果表!K38</f>
        <v>52670.3</v>
      </c>
      <c r="D14" s="3128">
        <f ca="1">结果表!C42</f>
        <v>90155</v>
      </c>
      <c r="E14" s="3128">
        <f ca="1">ROUND(D14*10000/B14,0)</f>
        <v>10811</v>
      </c>
      <c r="F14" s="3128">
        <f ca="1">ROUND(D14*10000/C14,0)</f>
        <v>17117</v>
      </c>
      <c r="G14" s="3128" t="str">
        <f>结果表!C44</f>
        <v>——</v>
      </c>
      <c r="H14" s="3128" t="str">
        <f>结果表!C45</f>
        <v>——</v>
      </c>
      <c r="I14" s="3128" t="str">
        <f>结果表!C46</f>
        <v>——</v>
      </c>
      <c r="J14" s="3132"/>
    </row>
    <row r="15" spans="1:10" ht="17">
      <c r="A15" s="3127" t="s">
        <v>2628</v>
      </c>
      <c r="B15" s="3129"/>
      <c r="C15" s="3129"/>
      <c r="D15" s="3129"/>
      <c r="E15" s="3128" t="e">
        <f t="shared" ref="E15:E23" si="2">ROUND(D15*10000/B15,0)</f>
        <v>#DIV/0!</v>
      </c>
      <c r="F15" s="3128" t="e">
        <f t="shared" ref="F15:F23" si="3">ROUND(D15*10000/C15,0)</f>
        <v>#DIV/0!</v>
      </c>
      <c r="G15" s="2704"/>
      <c r="H15" s="2704"/>
      <c r="I15" s="3129"/>
      <c r="J15" s="3132"/>
    </row>
    <row r="16" spans="1:10" ht="17">
      <c r="A16" s="3127" t="s">
        <v>2629</v>
      </c>
      <c r="B16" s="3129"/>
      <c r="C16" s="3129"/>
      <c r="D16" s="3129"/>
      <c r="E16" s="3128" t="e">
        <f t="shared" si="2"/>
        <v>#DIV/0!</v>
      </c>
      <c r="F16" s="3128" t="e">
        <f t="shared" si="3"/>
        <v>#DIV/0!</v>
      </c>
      <c r="G16" s="2704"/>
      <c r="H16" s="2704"/>
      <c r="I16" s="3129"/>
      <c r="J16" s="3132"/>
    </row>
    <row r="17" spans="1:10" ht="17">
      <c r="A17" s="3127" t="s">
        <v>2630</v>
      </c>
      <c r="B17" s="3129"/>
      <c r="C17" s="3129"/>
      <c r="D17" s="3129"/>
      <c r="E17" s="3128" t="e">
        <f t="shared" si="2"/>
        <v>#DIV/0!</v>
      </c>
      <c r="F17" s="3128" t="e">
        <f t="shared" si="3"/>
        <v>#DIV/0!</v>
      </c>
      <c r="G17" s="2704"/>
      <c r="H17" s="2704"/>
      <c r="I17" s="3129"/>
      <c r="J17" s="3132"/>
    </row>
    <row r="18" spans="1:10" ht="17">
      <c r="A18" s="3127" t="s">
        <v>2631</v>
      </c>
      <c r="B18" s="3129"/>
      <c r="C18" s="3129"/>
      <c r="D18" s="3129"/>
      <c r="E18" s="3128" t="e">
        <f t="shared" si="2"/>
        <v>#DIV/0!</v>
      </c>
      <c r="F18" s="3128" t="e">
        <f t="shared" si="3"/>
        <v>#DIV/0!</v>
      </c>
      <c r="G18" s="3129"/>
      <c r="H18" s="3129"/>
      <c r="I18" s="3129"/>
      <c r="J18" s="3132"/>
    </row>
    <row r="19" spans="1:10" ht="17">
      <c r="A19" s="3127" t="s">
        <v>2632</v>
      </c>
      <c r="B19" s="3129"/>
      <c r="C19" s="3129"/>
      <c r="D19" s="3129"/>
      <c r="E19" s="3128" t="e">
        <f t="shared" si="2"/>
        <v>#DIV/0!</v>
      </c>
      <c r="F19" s="3128" t="e">
        <f t="shared" si="3"/>
        <v>#DIV/0!</v>
      </c>
      <c r="G19" s="3129"/>
      <c r="H19" s="3129"/>
      <c r="I19" s="3129"/>
      <c r="J19" s="3132"/>
    </row>
    <row r="20" spans="1:10" ht="17">
      <c r="A20" s="3127" t="s">
        <v>2633</v>
      </c>
      <c r="B20" s="3129"/>
      <c r="C20" s="3129"/>
      <c r="D20" s="3129"/>
      <c r="E20" s="3128" t="e">
        <f t="shared" si="2"/>
        <v>#DIV/0!</v>
      </c>
      <c r="F20" s="3128" t="e">
        <f t="shared" si="3"/>
        <v>#DIV/0!</v>
      </c>
      <c r="G20" s="3129"/>
      <c r="H20" s="3129"/>
      <c r="I20" s="3129"/>
      <c r="J20" s="3132"/>
    </row>
    <row r="21" spans="1:10" ht="17">
      <c r="A21" s="3127" t="s">
        <v>2634</v>
      </c>
      <c r="B21" s="3129"/>
      <c r="C21" s="3129"/>
      <c r="D21" s="3129"/>
      <c r="E21" s="3128" t="e">
        <f t="shared" si="2"/>
        <v>#DIV/0!</v>
      </c>
      <c r="F21" s="3128" t="e">
        <f t="shared" si="3"/>
        <v>#DIV/0!</v>
      </c>
      <c r="G21" s="3129"/>
      <c r="H21" s="3129"/>
      <c r="I21" s="3129"/>
      <c r="J21" s="3132"/>
    </row>
    <row r="22" spans="1:10" ht="17">
      <c r="A22" s="3127" t="s">
        <v>2635</v>
      </c>
      <c r="B22" s="3129"/>
      <c r="C22" s="3129"/>
      <c r="D22" s="3129"/>
      <c r="E22" s="3128" t="e">
        <f t="shared" si="2"/>
        <v>#DIV/0!</v>
      </c>
      <c r="F22" s="3128" t="e">
        <f t="shared" si="3"/>
        <v>#DIV/0!</v>
      </c>
      <c r="G22" s="3129"/>
      <c r="H22" s="3129"/>
      <c r="I22" s="3129"/>
      <c r="J22" s="3132"/>
    </row>
    <row r="23" spans="1:10" ht="17">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4" sqref="D4"/>
    </sheetView>
  </sheetViews>
  <sheetFormatPr baseColWidth="10" defaultColWidth="12.6640625" defaultRowHeight="21.75" customHeight="1"/>
  <cols>
    <col min="1" max="2" width="12.6640625" style="1167" bestFit="1" customWidth="1"/>
    <col min="3" max="4" width="12.6640625" style="1167" customWidth="1"/>
    <col min="5" max="9" width="12.6640625" style="1167" bestFit="1" customWidth="1"/>
    <col min="10" max="10" width="2.1640625" style="255" customWidth="1"/>
    <col min="11" max="12" width="12.6640625" style="255" customWidth="1"/>
    <col min="13" max="13" width="12.6640625" style="255"/>
    <col min="14" max="14" width="15.6640625" style="255" bestFit="1" customWidth="1"/>
    <col min="15" max="19" width="12.6640625" style="255" bestFit="1" customWidth="1"/>
    <col min="20" max="26" width="12.6640625" style="255"/>
    <col min="27" max="16384" width="12.6640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07" t="str">
        <f>项目基本情况!K2</f>
        <v>北京市出让国有建设用地使用权</v>
      </c>
      <c r="B2" s="3608"/>
      <c r="C2" s="3609"/>
      <c r="D2" s="3609"/>
      <c r="E2" s="3609"/>
      <c r="F2" s="3609"/>
      <c r="G2" s="3608"/>
      <c r="H2" s="3608"/>
      <c r="I2" s="3610"/>
      <c r="J2" s="1865"/>
      <c r="K2" s="1864"/>
      <c r="L2" s="1864"/>
      <c r="M2" s="1864"/>
      <c r="N2" s="1864"/>
      <c r="O2" s="1864"/>
      <c r="P2" s="1864"/>
      <c r="Q2" s="1864"/>
      <c r="R2" s="1864"/>
      <c r="S2" s="1864"/>
      <c r="T2" s="1864"/>
      <c r="U2" s="1864"/>
      <c r="V2" s="1864"/>
    </row>
    <row r="3" spans="1:22" ht="14">
      <c r="A3" s="3600" t="s">
        <v>298</v>
      </c>
      <c r="B3" s="3601"/>
      <c r="C3" s="3601"/>
      <c r="D3" s="3601"/>
      <c r="E3" s="3601"/>
      <c r="F3" s="3601"/>
      <c r="G3" s="3601"/>
      <c r="H3" s="3601"/>
      <c r="I3" s="3601"/>
      <c r="J3" s="1865"/>
      <c r="K3" s="1864"/>
      <c r="L3" s="1864"/>
      <c r="M3" s="1864"/>
      <c r="N3" s="1864"/>
      <c r="O3" s="1864"/>
      <c r="P3" s="1864"/>
      <c r="Q3" s="1864"/>
      <c r="R3" s="1864"/>
      <c r="S3" s="1864"/>
      <c r="T3" s="1864"/>
      <c r="U3" s="1864"/>
      <c r="V3" s="1864"/>
    </row>
    <row r="4" spans="1:22" ht="15">
      <c r="A4" s="256" t="s">
        <v>299</v>
      </c>
      <c r="B4" s="257" t="s">
        <v>300</v>
      </c>
      <c r="C4" s="258" t="s">
        <v>3268</v>
      </c>
      <c r="D4" s="258" t="s">
        <v>3268</v>
      </c>
      <c r="E4" s="3566" t="s">
        <v>301</v>
      </c>
      <c r="F4" s="3567"/>
      <c r="G4" s="3567"/>
      <c r="H4" s="3567"/>
      <c r="I4" s="3602"/>
      <c r="J4" s="1865"/>
      <c r="K4" s="1864"/>
      <c r="L4" s="3133" t="str">
        <f>IF(ISNUMBER(FIND("比较法",C4)),"比较法",IF(ISNUMBER(FIND("成本法",C4)),"成本法",IF(ISNUMBER(FIND("剩余法",C4)),"剩余法",IF(ISNUMBER(FIND("收益法",C4)),"收益法","基准地价系数修正法"))))</f>
        <v>剩余法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
      <c r="A5" s="3565" t="s">
        <v>302</v>
      </c>
      <c r="B5" s="3594">
        <v>25</v>
      </c>
      <c r="C5" s="3592">
        <v>1</v>
      </c>
      <c r="D5" s="3596"/>
      <c r="E5" s="259" t="s">
        <v>303</v>
      </c>
      <c r="F5" s="260"/>
      <c r="G5" s="260"/>
      <c r="H5" s="260"/>
      <c r="I5" s="261"/>
      <c r="J5" s="1865"/>
      <c r="K5" s="1864"/>
      <c r="L5" s="1864"/>
      <c r="M5" s="1864"/>
      <c r="N5" s="1864"/>
      <c r="O5" s="1864"/>
      <c r="P5" s="1864"/>
      <c r="Q5" s="1864"/>
      <c r="R5" s="1864"/>
      <c r="S5" s="1864"/>
      <c r="T5" s="1864"/>
      <c r="U5" s="1864"/>
      <c r="V5" s="1864"/>
    </row>
    <row r="6" spans="1:22" ht="14">
      <c r="A6" s="3565"/>
      <c r="B6" s="3594"/>
      <c r="C6" s="3595"/>
      <c r="D6" s="3596"/>
      <c r="E6" s="259" t="s">
        <v>304</v>
      </c>
      <c r="F6" s="260"/>
      <c r="G6" s="260"/>
      <c r="H6" s="260"/>
      <c r="I6" s="261"/>
      <c r="J6" s="1865"/>
      <c r="K6" s="1864"/>
      <c r="L6" s="1864"/>
      <c r="M6" s="1864"/>
      <c r="N6" s="1864"/>
      <c r="O6" s="1864"/>
      <c r="P6" s="1864"/>
      <c r="Q6" s="1864"/>
      <c r="R6" s="1864"/>
      <c r="S6" s="1864"/>
      <c r="T6" s="1864"/>
      <c r="U6" s="1864"/>
      <c r="V6" s="1864"/>
    </row>
    <row r="7" spans="1:22" ht="14">
      <c r="A7" s="3565"/>
      <c r="B7" s="3594"/>
      <c r="C7" s="3593"/>
      <c r="D7" s="3596"/>
      <c r="E7" s="259" t="s">
        <v>305</v>
      </c>
      <c r="F7" s="260"/>
      <c r="G7" s="260"/>
      <c r="H7" s="260"/>
      <c r="I7" s="261"/>
      <c r="J7" s="1865"/>
      <c r="K7" s="1864"/>
      <c r="L7" s="1864"/>
      <c r="M7" s="1864"/>
      <c r="N7" s="1864"/>
      <c r="O7" s="1864"/>
      <c r="P7" s="1864"/>
      <c r="Q7" s="1864"/>
      <c r="R7" s="1864"/>
      <c r="S7" s="1864"/>
      <c r="T7" s="1864"/>
      <c r="U7" s="1864"/>
      <c r="V7" s="1864"/>
    </row>
    <row r="8" spans="1:22" ht="14">
      <c r="A8" s="3565" t="s">
        <v>306</v>
      </c>
      <c r="B8" s="3594">
        <v>15</v>
      </c>
      <c r="C8" s="3592"/>
      <c r="D8" s="3596"/>
      <c r="E8" s="259" t="s">
        <v>307</v>
      </c>
      <c r="F8" s="260"/>
      <c r="G8" s="260"/>
      <c r="H8" s="260"/>
      <c r="I8" s="261"/>
      <c r="J8" s="1865"/>
      <c r="K8" s="1864"/>
      <c r="L8" s="1864"/>
      <c r="M8" s="1864"/>
      <c r="N8" s="1864"/>
      <c r="O8" s="1864"/>
      <c r="P8" s="1864"/>
      <c r="Q8" s="1864"/>
      <c r="R8" s="1864"/>
      <c r="S8" s="1864"/>
      <c r="T8" s="1864"/>
      <c r="U8" s="1864"/>
      <c r="V8" s="1864"/>
    </row>
    <row r="9" spans="1:22" ht="14">
      <c r="A9" s="3565"/>
      <c r="B9" s="3594"/>
      <c r="C9" s="3593"/>
      <c r="D9" s="3596"/>
      <c r="E9" s="259" t="s">
        <v>308</v>
      </c>
      <c r="F9" s="260"/>
      <c r="G9" s="260"/>
      <c r="H9" s="260"/>
      <c r="I9" s="261"/>
      <c r="J9" s="1865"/>
      <c r="K9" s="1864"/>
      <c r="L9" s="1864"/>
      <c r="M9" s="1864"/>
      <c r="N9" s="1864"/>
      <c r="O9" s="1864"/>
      <c r="P9" s="1864"/>
      <c r="Q9" s="1864"/>
      <c r="R9" s="1864"/>
      <c r="S9" s="1864"/>
      <c r="T9" s="1864"/>
      <c r="U9" s="1864"/>
      <c r="V9" s="1864"/>
    </row>
    <row r="10" spans="1:22" ht="14">
      <c r="A10" s="3565" t="s">
        <v>309</v>
      </c>
      <c r="B10" s="3594">
        <v>15</v>
      </c>
      <c r="C10" s="3592"/>
      <c r="D10" s="3596"/>
      <c r="E10" s="259" t="s">
        <v>310</v>
      </c>
      <c r="F10" s="260"/>
      <c r="G10" s="260"/>
      <c r="H10" s="260"/>
      <c r="I10" s="261"/>
      <c r="J10" s="1865"/>
      <c r="K10" s="1864"/>
      <c r="L10" s="1864"/>
      <c r="M10" s="1864"/>
      <c r="N10" s="1864"/>
      <c r="O10" s="1864"/>
      <c r="P10" s="1864"/>
      <c r="Q10" s="1864"/>
      <c r="R10" s="1864"/>
      <c r="S10" s="1864"/>
      <c r="T10" s="1864"/>
      <c r="U10" s="1864"/>
      <c r="V10" s="1864"/>
    </row>
    <row r="11" spans="1:22" ht="14">
      <c r="A11" s="3565"/>
      <c r="B11" s="3594"/>
      <c r="C11" s="3593"/>
      <c r="D11" s="3596"/>
      <c r="E11" s="259" t="s">
        <v>311</v>
      </c>
      <c r="F11" s="260"/>
      <c r="G11" s="260"/>
      <c r="H11" s="260"/>
      <c r="I11" s="261"/>
      <c r="J11" s="1865"/>
      <c r="K11" s="1864"/>
      <c r="L11" s="1864"/>
      <c r="M11" s="1864"/>
      <c r="N11" s="1864"/>
      <c r="O11" s="1864"/>
      <c r="P11" s="1864"/>
      <c r="Q11" s="1864"/>
      <c r="R11" s="1864"/>
      <c r="S11" s="1864"/>
      <c r="T11" s="1864"/>
      <c r="U11" s="1864"/>
      <c r="V11" s="1864"/>
    </row>
    <row r="12" spans="1:22" ht="14">
      <c r="A12" s="3565" t="s">
        <v>312</v>
      </c>
      <c r="B12" s="3594">
        <v>15</v>
      </c>
      <c r="C12" s="3592"/>
      <c r="D12" s="3596"/>
      <c r="E12" s="259" t="s">
        <v>313</v>
      </c>
      <c r="F12" s="260"/>
      <c r="G12" s="260"/>
      <c r="H12" s="260"/>
      <c r="I12" s="261"/>
      <c r="J12" s="1865"/>
      <c r="K12" s="1864"/>
      <c r="L12" s="1864"/>
      <c r="M12" s="1864"/>
      <c r="N12" s="1864"/>
      <c r="O12" s="1864"/>
      <c r="P12" s="1864"/>
      <c r="Q12" s="1864"/>
      <c r="R12" s="1864"/>
      <c r="S12" s="1864"/>
      <c r="T12" s="1864"/>
      <c r="U12" s="1864"/>
      <c r="V12" s="1864"/>
    </row>
    <row r="13" spans="1:22" ht="14">
      <c r="A13" s="3565"/>
      <c r="B13" s="3594"/>
      <c r="C13" s="3593"/>
      <c r="D13" s="3596"/>
      <c r="E13" s="259" t="s">
        <v>314</v>
      </c>
      <c r="F13" s="260"/>
      <c r="G13" s="260"/>
      <c r="H13" s="260"/>
      <c r="I13" s="261"/>
      <c r="J13" s="1865"/>
      <c r="K13" s="1864"/>
      <c r="L13" s="1864"/>
      <c r="M13" s="1864"/>
      <c r="N13" s="1864"/>
      <c r="O13" s="1864"/>
      <c r="P13" s="1864"/>
      <c r="Q13" s="1864"/>
      <c r="R13" s="1864"/>
      <c r="S13" s="1864"/>
      <c r="T13" s="1864"/>
      <c r="U13" s="1864"/>
      <c r="V13" s="1864"/>
    </row>
    <row r="14" spans="1:22" ht="14">
      <c r="A14" s="3565" t="s">
        <v>315</v>
      </c>
      <c r="B14" s="3594">
        <v>30</v>
      </c>
      <c r="C14" s="3592"/>
      <c r="D14" s="3596"/>
      <c r="E14" s="259" t="s">
        <v>316</v>
      </c>
      <c r="F14" s="260"/>
      <c r="G14" s="260"/>
      <c r="H14" s="260"/>
      <c r="I14" s="261"/>
      <c r="J14" s="1865"/>
      <c r="K14" s="1864"/>
      <c r="L14" s="1864"/>
      <c r="M14" s="1864"/>
      <c r="N14" s="1864"/>
      <c r="O14" s="1864"/>
      <c r="P14" s="1864"/>
      <c r="Q14" s="1864"/>
      <c r="R14" s="1864"/>
      <c r="S14" s="1864"/>
      <c r="T14" s="1864"/>
      <c r="U14" s="1864"/>
      <c r="V14" s="1864"/>
    </row>
    <row r="15" spans="1:22" ht="14">
      <c r="A15" s="3565"/>
      <c r="B15" s="3594"/>
      <c r="C15" s="3595"/>
      <c r="D15" s="3596"/>
      <c r="E15" s="259" t="s">
        <v>317</v>
      </c>
      <c r="F15" s="260"/>
      <c r="G15" s="260"/>
      <c r="H15" s="260"/>
      <c r="I15" s="261"/>
      <c r="J15" s="1865"/>
      <c r="K15" s="1864"/>
      <c r="L15" s="1864"/>
      <c r="M15" s="1864"/>
      <c r="N15" s="1864"/>
      <c r="O15" s="1864"/>
      <c r="P15" s="1864"/>
      <c r="Q15" s="1864"/>
      <c r="R15" s="1864"/>
      <c r="S15" s="1864"/>
      <c r="T15" s="1864"/>
      <c r="U15" s="1864"/>
      <c r="V15" s="1864"/>
    </row>
    <row r="16" spans="1:22" ht="14">
      <c r="A16" s="3565"/>
      <c r="B16" s="3594"/>
      <c r="C16" s="3593"/>
      <c r="D16" s="3596"/>
      <c r="E16" s="259" t="s">
        <v>318</v>
      </c>
      <c r="F16" s="260"/>
      <c r="G16" s="260"/>
      <c r="H16" s="260"/>
      <c r="I16" s="261"/>
      <c r="J16" s="1865"/>
      <c r="K16" s="1864"/>
      <c r="L16" s="1864"/>
      <c r="M16" s="1864"/>
      <c r="N16" s="1864"/>
      <c r="O16" s="1864"/>
      <c r="P16" s="1864"/>
      <c r="Q16" s="1864"/>
      <c r="R16" s="1864"/>
      <c r="S16" s="1864"/>
      <c r="T16" s="1864"/>
      <c r="U16" s="1864"/>
      <c r="V16" s="1864"/>
    </row>
    <row r="17" spans="1:26" ht="14">
      <c r="A17" s="262" t="s">
        <v>319</v>
      </c>
      <c r="B17" s="142"/>
      <c r="C17" s="263">
        <f>SUM(C5:C16)</f>
        <v>1</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5" customHeight="1" thickBot="1">
      <c r="A18" s="264" t="s">
        <v>320</v>
      </c>
      <c r="B18" s="105"/>
      <c r="C18" s="265">
        <f>ROUND(C17/SUM(C17:D17),2)</f>
        <v>1</v>
      </c>
      <c r="D18" s="265">
        <f>1-C18</f>
        <v>0</v>
      </c>
      <c r="E18" s="3597" t="s">
        <v>2747</v>
      </c>
      <c r="F18" s="3598"/>
      <c r="G18" s="3598"/>
      <c r="H18" s="3598"/>
      <c r="I18" s="3598"/>
      <c r="J18" s="1864"/>
      <c r="K18" s="1864"/>
      <c r="L18" s="1864"/>
      <c r="M18" s="1864"/>
      <c r="N18" s="1864"/>
      <c r="O18" s="1864"/>
      <c r="P18" s="1864"/>
      <c r="Q18" s="1864"/>
      <c r="R18" s="1864"/>
      <c r="S18" s="1864"/>
      <c r="T18" s="1864"/>
      <c r="U18" s="1864"/>
      <c r="V18" s="1864"/>
    </row>
    <row r="19" spans="1:26" ht="14">
      <c r="A19" s="266" t="s">
        <v>321</v>
      </c>
      <c r="B19" s="267" t="s">
        <v>322</v>
      </c>
      <c r="C19" s="268">
        <f ca="1">SUMIF(INDIRECT("'"&amp;C4&amp;"'"&amp;"!A:A"),结果表!B19,INDIRECT("'"&amp;C4&amp;"'"&amp;"!B:B"))</f>
        <v>90154.631563403163</v>
      </c>
      <c r="D19" s="269">
        <f ca="1">SUMIF(INDIRECT("'"&amp;D4&amp;"'"&amp;"!A:A"),结果表!B19,INDIRECT("'"&amp;D4&amp;"'"&amp;"!B:B"))</f>
        <v>90154.631563403163</v>
      </c>
      <c r="E19" s="266" t="s">
        <v>323</v>
      </c>
      <c r="F19" s="267" t="s">
        <v>322</v>
      </c>
      <c r="G19" s="270">
        <f ca="1">ROUND(C19*$C$18+D19*$D$18,0)</f>
        <v>90155</v>
      </c>
      <c r="H19" s="271" t="s">
        <v>324</v>
      </c>
      <c r="I19" s="309"/>
      <c r="J19" s="1864"/>
      <c r="K19" s="1864"/>
      <c r="L19" s="1864"/>
      <c r="M19" s="1864"/>
      <c r="N19" s="1864"/>
      <c r="O19" s="1864"/>
      <c r="P19" s="1864"/>
      <c r="Q19" s="1864"/>
      <c r="R19" s="1864"/>
      <c r="S19" s="1864"/>
      <c r="T19" s="1864"/>
      <c r="U19" s="1864"/>
      <c r="V19" s="1864"/>
    </row>
    <row r="20" spans="1:26" ht="14">
      <c r="A20" s="272"/>
      <c r="B20" s="273" t="s">
        <v>325</v>
      </c>
      <c r="C20" s="274">
        <f ca="1">SUMIF(INDIRECT("'"&amp;C4&amp;"'"&amp;"!A:A"),结果表!B20,INDIRECT("'"&amp;C4&amp;"'"&amp;"!B:B"))</f>
        <v>12028</v>
      </c>
      <c r="D20" s="275">
        <f ca="1">SUMIF(INDIRECT("'"&amp;D4&amp;"'"&amp;"!A:A"),结果表!B20,INDIRECT("'"&amp;D4&amp;"'"&amp;"!B:B"))</f>
        <v>12028</v>
      </c>
      <c r="E20" s="272"/>
      <c r="F20" s="273" t="s">
        <v>325</v>
      </c>
      <c r="G20" s="276">
        <f ca="1">ROUND(C20*$C$18+D20*$D$18,0)</f>
        <v>12028</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19045</v>
      </c>
      <c r="D21" s="149">
        <f ca="1">SUMIF(INDIRECT("'"&amp;D4&amp;"'"&amp;"!A:A"),结果表!B21,INDIRECT("'"&amp;D4&amp;"'"&amp;"!B:B"))</f>
        <v>19045</v>
      </c>
      <c r="E21" s="272"/>
      <c r="F21" s="278" t="s">
        <v>327</v>
      </c>
      <c r="G21" s="280">
        <f ca="1">ROUND(C21*$C$18+D21*$D$18,0)</f>
        <v>19045</v>
      </c>
      <c r="H21" s="1168" t="s">
        <v>326</v>
      </c>
      <c r="I21" s="309"/>
      <c r="J21" s="1864"/>
      <c r="K21" s="1864"/>
      <c r="L21" s="1864"/>
      <c r="M21" s="1864"/>
      <c r="N21" s="1864"/>
      <c r="O21" s="1864"/>
      <c r="P21" s="1864"/>
      <c r="Q21" s="1864"/>
      <c r="R21" s="1864"/>
      <c r="S21" s="1864"/>
      <c r="T21" s="1864"/>
      <c r="U21" s="1864"/>
      <c r="V21" s="1864"/>
    </row>
    <row r="22" spans="1:26" ht="15" thickBot="1">
      <c r="A22" s="126" t="s">
        <v>328</v>
      </c>
      <c r="B22" s="1169"/>
      <c r="C22" s="1170"/>
      <c r="D22" s="281">
        <f ca="1">IF(C19&lt;D19,D19/C19-1,C19/D19-1)</f>
        <v>0</v>
      </c>
      <c r="E22" s="282"/>
      <c r="F22" s="283"/>
      <c r="G22" s="284">
        <f ca="1">ROUND(G19/('数据-汇总表'!D3/666.67),0)</f>
        <v>1141</v>
      </c>
      <c r="H22" s="285" t="s">
        <v>329</v>
      </c>
      <c r="I22" s="309"/>
      <c r="J22" s="1864"/>
      <c r="K22" s="1864"/>
      <c r="L22" s="1864"/>
      <c r="M22" s="1864"/>
      <c r="N22" s="1864"/>
      <c r="O22" s="1864"/>
      <c r="P22" s="1864"/>
      <c r="Q22" s="1864"/>
      <c r="R22" s="1864"/>
      <c r="S22" s="1864"/>
      <c r="T22" s="1864"/>
      <c r="U22" s="1864"/>
      <c r="V22" s="1864"/>
    </row>
    <row r="23" spans="1:26" ht="14"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71"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572"/>
      <c r="B25" s="1238" t="s">
        <v>331</v>
      </c>
      <c r="C25" s="288">
        <f>IF(B30=0,0,C30)</f>
        <v>0</v>
      </c>
      <c r="D25" s="289"/>
      <c r="E25" s="309"/>
      <c r="F25" s="309"/>
      <c r="G25" s="309"/>
      <c r="H25" s="309"/>
      <c r="I25" s="309"/>
      <c r="J25" s="1864"/>
      <c r="K25" s="1172" t="str">
        <f ca="1">项目基本情况!B16&amp;"国有建设用地使用权价格："&amp;O38&amp;"万元"</f>
        <v>出让国有建设用地使用权价格：90155万元</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str">
        <f ca="1">"大写金额：人民币"&amp;NUMBERSTRING(INT(O38*10000),2)&amp;"元整"</f>
        <v>大写金额：人民币玖亿零壹佰伍拾伍万元整</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str">
        <f ca="1">"单位面积地价："&amp;M38&amp;"元/平方米"</f>
        <v>单位面积地价：17117元/平方米</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str">
        <f ca="1">"楼面地价："&amp;N38&amp;"元/平方米"</f>
        <v>楼面地价：10811元/平方米</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9"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599" t="s">
        <v>2749</v>
      </c>
      <c r="B31" s="3599"/>
      <c r="C31" s="3599"/>
      <c r="D31" s="3599"/>
      <c r="E31" s="3599"/>
      <c r="F31" s="3599"/>
      <c r="G31" s="3599"/>
      <c r="H31" s="3599"/>
      <c r="I31" s="3599"/>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20" thickTop="1" thickBot="1">
      <c r="A32" s="272" t="s">
        <v>337</v>
      </c>
      <c r="B32" s="2941" t="s">
        <v>1483</v>
      </c>
      <c r="C32" s="264">
        <f ca="1">G19-C24</f>
        <v>90155</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9" thickBot="1">
      <c r="A33" s="296" t="s">
        <v>340</v>
      </c>
      <c r="B33" s="1288" t="s">
        <v>1485</v>
      </c>
      <c r="C33" s="262">
        <f ca="1">ROUND(C32*10000/'数据-汇总表'!E3,0)</f>
        <v>10811</v>
      </c>
      <c r="D33" s="1289" t="s">
        <v>1486</v>
      </c>
      <c r="E33" s="3571"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9" thickBot="1">
      <c r="A34" s="298"/>
      <c r="B34" s="1290" t="s">
        <v>1487</v>
      </c>
      <c r="C34" s="262">
        <f ca="1">ROUND(C32*10000/'数据-汇总表'!D3,0)</f>
        <v>17117</v>
      </c>
      <c r="D34" s="1291" t="s">
        <v>1486</v>
      </c>
      <c r="E34" s="3615"/>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 thickBot="1">
      <c r="A35" s="282"/>
      <c r="B35" s="1292"/>
      <c r="C35" s="1293">
        <f ca="1">ROUND(C32/('数据-汇总表'!D3/666.67),0)</f>
        <v>1141</v>
      </c>
      <c r="D35" s="1294" t="s">
        <v>1488</v>
      </c>
      <c r="E35" s="3616"/>
      <c r="F35" s="299" t="s">
        <v>342</v>
      </c>
      <c r="G35" s="952"/>
      <c r="H35" s="951" t="s">
        <v>343</v>
      </c>
      <c r="I35" s="309"/>
      <c r="J35" s="1864"/>
      <c r="K35" s="3589" t="s">
        <v>350</v>
      </c>
      <c r="L35" s="3589" t="s">
        <v>351</v>
      </c>
      <c r="M35" s="1181" t="s">
        <v>352</v>
      </c>
      <c r="N35" s="3589" t="s">
        <v>353</v>
      </c>
      <c r="O35" s="3589" t="s">
        <v>354</v>
      </c>
      <c r="P35" s="1864"/>
      <c r="V35" s="1864"/>
    </row>
    <row r="36" spans="1:26" ht="16.5" customHeight="1">
      <c r="A36" s="301" t="s">
        <v>344</v>
      </c>
      <c r="B36" s="302" t="s">
        <v>333</v>
      </c>
      <c r="C36" s="303" t="s">
        <v>345</v>
      </c>
      <c r="D36" s="303" t="s">
        <v>346</v>
      </c>
      <c r="E36" s="304" t="s">
        <v>347</v>
      </c>
      <c r="F36" s="309"/>
      <c r="G36" s="309"/>
      <c r="H36" s="309"/>
      <c r="I36" s="309"/>
      <c r="J36" s="1866"/>
      <c r="K36" s="3590"/>
      <c r="L36" s="3590"/>
      <c r="M36" s="1183" t="s">
        <v>355</v>
      </c>
      <c r="N36" s="3590"/>
      <c r="O36" s="3590"/>
      <c r="P36" s="1864"/>
      <c r="V36" s="1864"/>
    </row>
    <row r="37" spans="1:26" ht="16.5" customHeight="1" thickBot="1">
      <c r="A37" s="1177" t="s">
        <v>348</v>
      </c>
      <c r="B37" s="305"/>
      <c r="C37" s="292"/>
      <c r="D37" s="292"/>
      <c r="E37" s="293"/>
      <c r="F37" s="309"/>
      <c r="G37" s="309"/>
      <c r="H37" s="309"/>
      <c r="I37" s="309"/>
      <c r="J37" s="1866"/>
      <c r="K37" s="3591"/>
      <c r="L37" s="3591"/>
      <c r="M37" s="1184"/>
      <c r="N37" s="3591"/>
      <c r="O37" s="3591"/>
      <c r="P37" s="1864"/>
      <c r="V37" s="1864"/>
    </row>
    <row r="38" spans="1:26" ht="16.5" customHeight="1" thickBot="1">
      <c r="A38" s="1177" t="s">
        <v>349</v>
      </c>
      <c r="B38" s="305"/>
      <c r="C38" s="292"/>
      <c r="D38" s="292"/>
      <c r="E38" s="293"/>
      <c r="F38" s="309"/>
      <c r="G38" s="309"/>
      <c r="H38" s="309"/>
      <c r="I38" s="309"/>
      <c r="J38" s="1866"/>
      <c r="K38" s="1185">
        <f>'数据-汇总表'!D3</f>
        <v>52670.3</v>
      </c>
      <c r="L38" s="1186">
        <f>'数据-汇总表'!E3</f>
        <v>83394.849999999991</v>
      </c>
      <c r="M38" s="1186">
        <f ca="1">C34</f>
        <v>17117</v>
      </c>
      <c r="N38" s="1186">
        <f ca="1">C33</f>
        <v>10811</v>
      </c>
      <c r="O38" s="1187">
        <f ca="1">C32</f>
        <v>90155</v>
      </c>
      <c r="P38" s="1864"/>
      <c r="V38" s="1864"/>
    </row>
    <row r="39" spans="1:26" ht="16.5" customHeight="1" thickBot="1">
      <c r="A39" s="1182"/>
      <c r="B39" s="306"/>
      <c r="C39" s="307"/>
      <c r="D39" s="307"/>
      <c r="E39" s="308"/>
      <c r="F39" s="309"/>
      <c r="G39" s="309"/>
      <c r="H39" s="309"/>
      <c r="I39" s="309"/>
      <c r="J39" s="1866"/>
      <c r="K39" s="3629" t="str">
        <f>MID(A44,3,LEN(A44)-2)</f>
        <v/>
      </c>
      <c r="L39" s="3630"/>
      <c r="M39" s="3630"/>
      <c r="N39" s="3631"/>
      <c r="O39" s="1296" t="str">
        <f>C44</f>
        <v>——</v>
      </c>
      <c r="P39" s="1864"/>
      <c r="V39" s="1864"/>
    </row>
    <row r="40" spans="1:26" ht="19" thickBot="1">
      <c r="A40" s="104" t="s">
        <v>847</v>
      </c>
      <c r="B40" s="309"/>
      <c r="C40" s="309"/>
      <c r="D40" s="309"/>
      <c r="E40" s="309"/>
      <c r="F40" s="309"/>
      <c r="G40" s="309"/>
      <c r="H40" s="309"/>
      <c r="I40" s="309"/>
      <c r="J40" s="1866"/>
      <c r="K40" s="3629" t="str">
        <f t="shared" ref="K40:K41" si="0">MID(A45,3,LEN(A45)-2)</f>
        <v/>
      </c>
      <c r="L40" s="3630"/>
      <c r="M40" s="3630"/>
      <c r="N40" s="3631"/>
      <c r="O40" s="1296" t="str">
        <f>C45</f>
        <v>——</v>
      </c>
      <c r="P40" s="1864"/>
      <c r="V40" s="1864"/>
    </row>
    <row r="41" spans="1:26" ht="17" thickBot="1">
      <c r="A41" s="310" t="s">
        <v>356</v>
      </c>
      <c r="B41" s="311"/>
      <c r="C41" s="312" t="s">
        <v>357</v>
      </c>
      <c r="D41" s="313" t="s">
        <v>358</v>
      </c>
      <c r="E41" s="313" t="s">
        <v>359</v>
      </c>
      <c r="F41" s="314" t="s">
        <v>360</v>
      </c>
      <c r="G41" s="309"/>
      <c r="H41" s="309"/>
      <c r="I41" s="309"/>
      <c r="J41" s="1866"/>
      <c r="K41" s="3629" t="str">
        <f t="shared" si="0"/>
        <v/>
      </c>
      <c r="L41" s="3630"/>
      <c r="M41" s="3630"/>
      <c r="N41" s="3631"/>
      <c r="O41" s="1296" t="str">
        <f>C46</f>
        <v>——</v>
      </c>
      <c r="P41" s="1864"/>
      <c r="V41" s="1864"/>
    </row>
    <row r="42" spans="1:26" ht="33">
      <c r="A42" s="3573" t="s">
        <v>1852</v>
      </c>
      <c r="B42" s="3574"/>
      <c r="C42" s="262">
        <f ca="1">C32</f>
        <v>90155</v>
      </c>
      <c r="D42" s="315">
        <f ca="1">C33</f>
        <v>10811</v>
      </c>
      <c r="E42" s="315">
        <f ca="1">C34</f>
        <v>17117</v>
      </c>
      <c r="F42" s="316">
        <f ca="1">C35</f>
        <v>1141</v>
      </c>
      <c r="G42" s="309"/>
      <c r="H42" s="309"/>
      <c r="I42" s="317"/>
      <c r="J42" s="1866"/>
      <c r="K42" s="1188" t="s">
        <v>361</v>
      </c>
      <c r="L42" s="1883" t="s">
        <v>362</v>
      </c>
      <c r="M42" s="1189" t="s">
        <v>363</v>
      </c>
      <c r="N42" s="1884" t="s">
        <v>364</v>
      </c>
      <c r="O42" s="1885" t="s">
        <v>365</v>
      </c>
      <c r="P42" s="1864"/>
      <c r="V42" s="1864"/>
    </row>
    <row r="43" spans="1:26" ht="18">
      <c r="A43" s="3584" t="s">
        <v>2501</v>
      </c>
      <c r="B43" s="3585"/>
      <c r="C43" s="262">
        <f>IF(H33="正常操作",G33+G34+G35,G34+G35)</f>
        <v>0</v>
      </c>
      <c r="D43" s="315" t="s">
        <v>43</v>
      </c>
      <c r="E43" s="315" t="s">
        <v>44</v>
      </c>
      <c r="F43" s="316" t="s">
        <v>44</v>
      </c>
      <c r="G43" s="2532" t="s">
        <v>926</v>
      </c>
      <c r="H43" s="309"/>
      <c r="I43" s="317"/>
      <c r="J43" s="1866"/>
      <c r="K43" s="1190" t="str">
        <f>C4</f>
        <v>剩余法-现房</v>
      </c>
      <c r="L43" s="1191">
        <f ca="1">IF(L42="估价结果/万元",C19,C20)</f>
        <v>90154.631563403163</v>
      </c>
      <c r="M43" s="1192">
        <f>C18</f>
        <v>1</v>
      </c>
      <c r="N43" s="1193">
        <f ca="1">IF(N42="测算结果/万元",G19,G20)</f>
        <v>90155</v>
      </c>
      <c r="O43" s="1194">
        <f ca="1">IF(O42="最终结果/万元",C32,C33)</f>
        <v>90155</v>
      </c>
      <c r="P43" s="1864"/>
      <c r="V43" s="1864"/>
    </row>
    <row r="44" spans="1:26" ht="19" thickBot="1">
      <c r="A44" s="3573" t="str">
        <f>IF(OR(项目基本情况!E8="抵押价格",项目基本情况!E8="已注销及未注销"),"3.抵押价格","——")</f>
        <v>——</v>
      </c>
      <c r="B44" s="3574"/>
      <c r="C44" s="262" t="str">
        <f>IF(A44="——","——",C42-C43)</f>
        <v>——</v>
      </c>
      <c r="D44" s="315" t="e">
        <f>ROUND(C44*10000/'数据-汇总表'!E3,0)</f>
        <v>#VALUE!</v>
      </c>
      <c r="E44" s="315" t="e">
        <f>ROUND(C44*10000/'数据-汇总表'!D3,0)</f>
        <v>#VALUE!</v>
      </c>
      <c r="F44" s="316" t="e">
        <f>ROUND(C44/('数据-汇总表'!D3/666.67),0)</f>
        <v>#VALUE!</v>
      </c>
      <c r="G44" s="309"/>
      <c r="H44" s="309"/>
      <c r="I44" s="317"/>
      <c r="J44" s="1866"/>
      <c r="K44" s="1195" t="str">
        <f>D4</f>
        <v>剩余法-现房</v>
      </c>
      <c r="L44" s="1196">
        <f ca="1">IF(L42="估价结果/万元",D19,D20)</f>
        <v>90154.631563403163</v>
      </c>
      <c r="M44" s="1197">
        <f>D18</f>
        <v>0</v>
      </c>
      <c r="N44" s="1198"/>
      <c r="O44" s="1199"/>
      <c r="P44" s="1864"/>
      <c r="V44" s="1864"/>
    </row>
    <row r="45" spans="1:26" ht="14">
      <c r="A45" s="3579" t="str">
        <f>IF(项目基本情况!E8="已注销及未注销","4.抵押担保权已注销时的抵押价格",IF(项目基本情况!E8="已注销","3.抵押担保权已注销时的抵押价格","——"))</f>
        <v>——</v>
      </c>
      <c r="B45" s="3580"/>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 thickBot="1">
      <c r="A46" s="3575" t="str">
        <f>IF(项目基本情况!E9="抵押净值",IF(A45="——","4.抵押净值","5.抵押净值"),"——")</f>
        <v>——</v>
      </c>
      <c r="B46" s="3576"/>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6">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3">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3">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3">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3">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3">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4">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4">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3">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4">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4">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3">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4">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3">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3">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23" t="s">
        <v>374</v>
      </c>
      <c r="B63" s="3624"/>
      <c r="C63" s="3625"/>
      <c r="D63" s="339">
        <f ca="1">ROUND(C42*F63,0)</f>
        <v>90155</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581" t="s">
        <v>378</v>
      </c>
      <c r="B64" s="3582"/>
      <c r="C64" s="3582"/>
      <c r="D64" s="3582"/>
      <c r="E64" s="3582"/>
      <c r="F64" s="3582"/>
      <c r="G64" s="3583"/>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30">
      <c r="A66" s="3577" t="s">
        <v>386</v>
      </c>
      <c r="B66" s="3578"/>
      <c r="C66" s="3578"/>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638" t="s">
        <v>385</v>
      </c>
      <c r="M66" s="3639"/>
      <c r="N66" s="2264"/>
      <c r="O66" s="2265"/>
      <c r="P66" s="2266"/>
      <c r="Q66" s="1864"/>
      <c r="R66" s="1864"/>
      <c r="S66" s="1864"/>
      <c r="T66" s="1864"/>
      <c r="U66" s="1864"/>
      <c r="V66" s="1864"/>
    </row>
    <row r="67" spans="1:22" ht="25.5" customHeight="1">
      <c r="A67" s="350" t="s">
        <v>389</v>
      </c>
      <c r="B67" s="3568" t="s">
        <v>390</v>
      </c>
      <c r="C67" s="3568"/>
      <c r="D67" s="351">
        <v>0</v>
      </c>
      <c r="E67" s="41" t="s">
        <v>391</v>
      </c>
      <c r="F67" s="62" t="s">
        <v>21</v>
      </c>
      <c r="G67" s="3626"/>
      <c r="H67" s="2943" t="s">
        <v>2750</v>
      </c>
      <c r="I67" s="2945"/>
      <c r="J67" s="1871"/>
      <c r="K67" s="1843">
        <v>2</v>
      </c>
      <c r="L67" s="3632" t="s">
        <v>388</v>
      </c>
      <c r="M67" s="3632"/>
      <c r="N67" s="1242">
        <f>'数据-取费表'!B2</f>
        <v>44826</v>
      </c>
      <c r="O67" s="1242"/>
      <c r="P67" s="1242"/>
      <c r="Q67" s="1864"/>
      <c r="R67" s="1864"/>
      <c r="S67" s="1864"/>
      <c r="T67" s="1864"/>
      <c r="U67" s="1864"/>
      <c r="V67" s="1864"/>
    </row>
    <row r="68" spans="1:22" ht="25.5" customHeight="1">
      <c r="A68" s="352"/>
      <c r="B68" s="3568" t="s">
        <v>393</v>
      </c>
      <c r="C68" s="3568"/>
      <c r="D68" s="353"/>
      <c r="E68" s="77"/>
      <c r="F68" s="354"/>
      <c r="G68" s="3627"/>
      <c r="H68" s="2944" t="s">
        <v>2751</v>
      </c>
      <c r="I68" s="2945"/>
      <c r="J68" s="1871"/>
      <c r="K68" s="1843">
        <v>3</v>
      </c>
      <c r="L68" s="3632" t="s">
        <v>392</v>
      </c>
      <c r="M68" s="3632"/>
      <c r="N68" s="1210">
        <f ca="1">C42</f>
        <v>90155</v>
      </c>
      <c r="O68" s="1210"/>
      <c r="P68" s="1210"/>
      <c r="Q68" s="1864"/>
      <c r="R68" s="1864"/>
      <c r="S68" s="1864"/>
      <c r="T68" s="1864"/>
      <c r="U68" s="1864"/>
      <c r="V68" s="1864"/>
    </row>
    <row r="69" spans="1:22" ht="23.5" customHeight="1">
      <c r="A69" s="355"/>
      <c r="B69" s="3568" t="s">
        <v>394</v>
      </c>
      <c r="C69" s="3568"/>
      <c r="D69" s="356"/>
      <c r="E69" s="73"/>
      <c r="F69" s="354"/>
      <c r="G69" s="3628"/>
      <c r="H69" s="2944" t="s">
        <v>2752</v>
      </c>
      <c r="I69" s="2945"/>
      <c r="J69" s="1871"/>
      <c r="K69" s="1211">
        <v>4</v>
      </c>
      <c r="L69" s="3642" t="s">
        <v>2650</v>
      </c>
      <c r="M69" s="3643"/>
      <c r="N69" s="1212" t="str">
        <f>C44</f>
        <v>——</v>
      </c>
      <c r="O69" s="1212"/>
      <c r="P69" s="1212"/>
      <c r="Q69" s="1864"/>
      <c r="R69" s="1864"/>
      <c r="S69" s="1864"/>
      <c r="T69" s="1864"/>
      <c r="U69" s="1864"/>
      <c r="V69" s="1864"/>
    </row>
    <row r="70" spans="1:22" ht="24" customHeight="1">
      <c r="A70" s="357" t="s">
        <v>395</v>
      </c>
      <c r="B70" s="3568" t="s">
        <v>396</v>
      </c>
      <c r="C70" s="3568"/>
      <c r="D70" s="356">
        <f ca="1">ROUND(D63*'数据-取费表'!B41/(1+'数据-取费表'!C42),0)</f>
        <v>4722</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569" t="s">
        <v>2780</v>
      </c>
      <c r="C71" s="3570"/>
      <c r="D71" s="356">
        <f ca="1">ROUND(D63*'数据-取费表'!B41/(1+'数据-取费表'!C42),0)</f>
        <v>4722</v>
      </c>
      <c r="E71" s="17" t="s">
        <v>397</v>
      </c>
      <c r="F71" s="358">
        <f>'数据-取费表'!B41</f>
        <v>5.5000000000000007E-2</v>
      </c>
      <c r="G71" s="359"/>
      <c r="H71" s="309"/>
      <c r="I71" s="1209"/>
      <c r="J71" s="1871"/>
      <c r="K71" s="2711" t="s">
        <v>398</v>
      </c>
      <c r="L71" s="3644" t="s">
        <v>399</v>
      </c>
      <c r="M71" s="3644"/>
      <c r="N71" s="2711" t="s">
        <v>400</v>
      </c>
      <c r="O71" s="2711" t="s">
        <v>401</v>
      </c>
      <c r="P71" s="2711" t="s">
        <v>402</v>
      </c>
      <c r="Q71" s="1864"/>
      <c r="R71" s="1864"/>
      <c r="S71" s="1864"/>
      <c r="T71" s="1864"/>
      <c r="U71" s="1864"/>
      <c r="V71" s="1864"/>
    </row>
    <row r="72" spans="1:22" ht="12" customHeight="1">
      <c r="A72" s="357" t="s">
        <v>405</v>
      </c>
      <c r="B72" s="3569" t="s">
        <v>2781</v>
      </c>
      <c r="C72" s="3570"/>
      <c r="D72" s="356">
        <f ca="1">C86</f>
        <v>4722</v>
      </c>
      <c r="E72" s="73" t="s">
        <v>406</v>
      </c>
      <c r="F72" s="358">
        <f>'数据-取费表'!B41</f>
        <v>5.5000000000000007E-2</v>
      </c>
      <c r="G72" s="359"/>
      <c r="H72" s="1215"/>
      <c r="I72" s="1209"/>
      <c r="J72" s="1871"/>
      <c r="K72" s="1843">
        <v>1</v>
      </c>
      <c r="L72" s="3619" t="s">
        <v>404</v>
      </c>
      <c r="M72" s="3619"/>
      <c r="N72" s="1213" t="b">
        <f>D66</f>
        <v>0</v>
      </c>
      <c r="O72" s="1727" t="str">
        <f>E66</f>
        <v>销售额×税（费）率</v>
      </c>
      <c r="P72" s="1214">
        <f>F66</f>
        <v>5.5000000000000007E-2</v>
      </c>
      <c r="Q72" s="1864"/>
      <c r="R72" s="1864"/>
      <c r="S72" s="1864"/>
      <c r="T72" s="1864"/>
      <c r="U72" s="1864"/>
      <c r="V72" s="1864"/>
    </row>
    <row r="73" spans="1:22" ht="24" customHeight="1">
      <c r="A73" s="3614" t="s">
        <v>408</v>
      </c>
      <c r="B73" s="3578"/>
      <c r="C73" s="3578"/>
      <c r="D73" s="360">
        <f ca="1">IF(H73="个人住宅",0,ROUND(D63*I73,0))</f>
        <v>45</v>
      </c>
      <c r="E73" s="17" t="s">
        <v>409</v>
      </c>
      <c r="F73" s="358" t="str">
        <f>IF(H73="正常",I73,"免征")</f>
        <v>免征</v>
      </c>
      <c r="G73" s="359"/>
      <c r="H73" s="189"/>
      <c r="I73" s="358">
        <f>'数据-取费表'!B49</f>
        <v>5.0000000000000001E-4</v>
      </c>
      <c r="J73" s="1871"/>
      <c r="K73" s="1843">
        <v>2</v>
      </c>
      <c r="L73" s="3619" t="s">
        <v>407</v>
      </c>
      <c r="M73" s="3619"/>
      <c r="N73" s="1213">
        <f t="shared" ref="N73:P74" ca="1" si="1">D73</f>
        <v>45</v>
      </c>
      <c r="O73" s="1727" t="str">
        <f t="shared" si="1"/>
        <v>销售额×税（费）率</v>
      </c>
      <c r="P73" s="1214" t="str">
        <f t="shared" si="1"/>
        <v>免征</v>
      </c>
      <c r="Q73" s="1864"/>
      <c r="R73" s="1864"/>
      <c r="S73" s="1864"/>
      <c r="T73" s="1864"/>
      <c r="U73" s="1864"/>
      <c r="V73" s="1864"/>
    </row>
    <row r="74" spans="1:22" ht="30">
      <c r="A74" s="3614" t="s">
        <v>411</v>
      </c>
      <c r="B74" s="3578"/>
      <c r="C74" s="3578"/>
      <c r="D74" s="360">
        <f ca="1">IF(H74="个人住宅",D75,D76)</f>
        <v>51110</v>
      </c>
      <c r="E74" s="17" t="s">
        <v>412</v>
      </c>
      <c r="F74" s="358" t="str">
        <f>IF(H74="正常",F76,"免征")</f>
        <v>免征</v>
      </c>
      <c r="G74" s="953" t="s">
        <v>413</v>
      </c>
      <c r="H74" s="361"/>
      <c r="I74" s="42"/>
      <c r="J74" s="1871"/>
      <c r="K74" s="1843">
        <v>3</v>
      </c>
      <c r="L74" s="3619" t="s">
        <v>410</v>
      </c>
      <c r="M74" s="3619"/>
      <c r="N74" s="1213">
        <f t="shared" ca="1" si="1"/>
        <v>51110</v>
      </c>
      <c r="O74" s="1727" t="str">
        <f t="shared" si="1"/>
        <v>增值额×税（费）率</v>
      </c>
      <c r="P74" s="1216" t="str">
        <f t="shared" si="1"/>
        <v>免征</v>
      </c>
      <c r="Q74" s="1864"/>
      <c r="R74" s="1864"/>
      <c r="S74" s="1864"/>
      <c r="T74" s="1864"/>
      <c r="U74" s="1864"/>
      <c r="V74" s="1864"/>
    </row>
    <row r="75" spans="1:22" ht="15">
      <c r="A75" s="357" t="s">
        <v>414</v>
      </c>
      <c r="B75" s="3566" t="s">
        <v>415</v>
      </c>
      <c r="C75" s="3602"/>
      <c r="D75" s="362">
        <v>0</v>
      </c>
      <c r="E75" s="41" t="s">
        <v>416</v>
      </c>
      <c r="F75" s="363"/>
      <c r="G75" s="359"/>
      <c r="H75" s="42"/>
      <c r="I75" s="42"/>
      <c r="J75" s="1871"/>
      <c r="K75" s="2705">
        <f>IF(H77="非个人房产","",4)</f>
        <v>4</v>
      </c>
      <c r="L75" s="3619" t="str">
        <f>IF(H77="非个人房产","——","个人所得税")</f>
        <v>个人所得税</v>
      </c>
      <c r="M75" s="3619"/>
      <c r="N75" s="1217">
        <f>D77</f>
        <v>0</v>
      </c>
      <c r="O75" s="1740" t="str">
        <f>E77</f>
        <v>差额计税</v>
      </c>
      <c r="P75" s="1218">
        <f>F77</f>
        <v>0.01</v>
      </c>
      <c r="Q75" s="1864"/>
      <c r="R75" s="1864"/>
      <c r="S75" s="1864"/>
      <c r="T75" s="1864"/>
      <c r="U75" s="1864"/>
      <c r="V75" s="1864"/>
    </row>
    <row r="76" spans="1:22" ht="30">
      <c r="A76" s="357" t="s">
        <v>395</v>
      </c>
      <c r="B76" s="3566" t="s">
        <v>418</v>
      </c>
      <c r="C76" s="3567"/>
      <c r="D76" s="360">
        <f ca="1">IF(H76="转让取得",C99,C115)</f>
        <v>51110</v>
      </c>
      <c r="E76" s="17" t="s">
        <v>419</v>
      </c>
      <c r="F76" s="53" t="s">
        <v>21</v>
      </c>
      <c r="G76" s="359"/>
      <c r="H76" s="361"/>
      <c r="I76" s="42"/>
      <c r="J76" s="1871"/>
      <c r="K76" s="2705" t="str">
        <f>IF(项目基本情况!K6="上海银行",IF(K75="",4,K75+1),"")</f>
        <v/>
      </c>
      <c r="L76" s="3634" t="str">
        <f>IF(项目基本情况!K6="上海银行","其他处置费用","")</f>
        <v/>
      </c>
      <c r="M76" s="3635"/>
      <c r="N76" s="1213" t="str">
        <f>IF(项目基本情况!K6="上海银行",N89,"")</f>
        <v/>
      </c>
      <c r="O76" s="3636" t="str">
        <f>IF(项目基本情况!K6="上海银行","包含处置中涉及的律师、诉讼、拍卖、评估等费用","")</f>
        <v/>
      </c>
      <c r="P76" s="3637"/>
      <c r="Q76" s="1864"/>
      <c r="R76" s="1864"/>
      <c r="S76" s="1864"/>
      <c r="T76" s="1864"/>
      <c r="U76" s="1864"/>
      <c r="V76" s="1864"/>
    </row>
    <row r="77" spans="1:22" ht="31" thickBot="1">
      <c r="A77" s="3621" t="s">
        <v>421</v>
      </c>
      <c r="B77" s="3622"/>
      <c r="C77" s="3622"/>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620">
        <f>IF(AND(K75="",K76=""),4,IF(项目基本情况!K6="上海银行",K76+1,K75+1))</f>
        <v>5</v>
      </c>
      <c r="L77" s="3619" t="s">
        <v>2651</v>
      </c>
      <c r="M77" s="2710" t="s">
        <v>417</v>
      </c>
      <c r="N77" s="1219"/>
      <c r="O77" s="1220">
        <f ca="1">SUMIF(N72:N76,"&lt;9e307")</f>
        <v>51155</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620"/>
      <c r="L78" s="3619"/>
      <c r="M78" s="2710" t="s">
        <v>420</v>
      </c>
      <c r="N78" s="1219"/>
      <c r="O78" s="1220" t="str">
        <f ca="1">NUMBERSTRING(INT(O77*10000),2)&amp;"元整"</f>
        <v>伍亿壹仟壹佰伍拾伍万元整</v>
      </c>
      <c r="P78" s="1221"/>
      <c r="Q78" s="1864"/>
      <c r="R78" s="1864"/>
      <c r="S78" s="1864"/>
      <c r="T78" s="1864"/>
      <c r="U78" s="1864"/>
      <c r="V78" s="1864"/>
    </row>
    <row r="79" spans="1:22" ht="16" thickBot="1">
      <c r="A79" s="3586" t="s">
        <v>422</v>
      </c>
      <c r="B79" s="3586"/>
      <c r="C79" s="3586"/>
      <c r="D79" s="3586"/>
      <c r="E79" s="3586"/>
      <c r="F79" s="42"/>
      <c r="G79" s="42"/>
      <c r="H79" s="973"/>
      <c r="I79" s="309"/>
      <c r="J79" s="1871"/>
      <c r="K79" s="3640">
        <f>K77+1</f>
        <v>6</v>
      </c>
      <c r="L79" s="3619" t="s">
        <v>2652</v>
      </c>
      <c r="M79" s="2710" t="s">
        <v>417</v>
      </c>
      <c r="N79" s="1219"/>
      <c r="O79" s="1220" t="e">
        <f ca="1">N69-O77</f>
        <v>#VALUE!</v>
      </c>
      <c r="P79" s="1221"/>
      <c r="Q79" s="1864"/>
      <c r="R79" s="1864"/>
      <c r="S79" s="1864"/>
      <c r="T79" s="1864"/>
      <c r="U79" s="1864"/>
      <c r="V79" s="1864"/>
    </row>
    <row r="80" spans="1:22" ht="15">
      <c r="A80" s="3587" t="s">
        <v>423</v>
      </c>
      <c r="B80" s="3588"/>
      <c r="C80" s="964"/>
      <c r="D80" s="964" t="s">
        <v>424</v>
      </c>
      <c r="E80" s="364" t="s">
        <v>425</v>
      </c>
      <c r="F80" s="42"/>
      <c r="G80" s="42"/>
      <c r="H80" s="973"/>
      <c r="I80" s="309"/>
      <c r="J80" s="1864"/>
      <c r="K80" s="3641"/>
      <c r="L80" s="3619"/>
      <c r="M80" s="2710" t="s">
        <v>420</v>
      </c>
      <c r="N80" s="1219"/>
      <c r="O80" s="1220" t="e">
        <f ca="1">NUMBERSTRING(INT(O79*10000),2)&amp;"元整"</f>
        <v>#VALUE!</v>
      </c>
      <c r="P80" s="1221"/>
      <c r="Q80" s="1864"/>
      <c r="R80" s="1864"/>
      <c r="S80" s="1864"/>
      <c r="T80" s="1864"/>
      <c r="U80" s="1864"/>
      <c r="V80" s="1864"/>
    </row>
    <row r="81" spans="1:26" ht="16" thickBot="1">
      <c r="A81" s="375" t="s">
        <v>1618</v>
      </c>
      <c r="B81" s="365" t="s">
        <v>426</v>
      </c>
      <c r="C81" s="366">
        <f ca="1">ROUND((C82+C83)/(1+'数据-取费表'!C42),0)</f>
        <v>85862</v>
      </c>
      <c r="D81" s="367"/>
      <c r="E81" s="368"/>
      <c r="F81" s="42"/>
      <c r="G81" s="42"/>
      <c r="H81" s="973"/>
      <c r="I81" s="309"/>
      <c r="J81" s="1864"/>
      <c r="K81" s="2705">
        <f>K79+1</f>
        <v>7</v>
      </c>
      <c r="L81" s="3617" t="s">
        <v>2653</v>
      </c>
      <c r="M81" s="3618"/>
      <c r="N81" s="1223"/>
      <c r="O81" s="1224" t="e">
        <f ca="1">ROUND(O79*10000/'数据-汇总表'!E3,0)</f>
        <v>#VALUE!</v>
      </c>
      <c r="P81" s="1225"/>
      <c r="Q81" s="1864"/>
      <c r="R81" s="1864"/>
      <c r="S81" s="1864"/>
      <c r="T81" s="1864"/>
      <c r="U81" s="1864"/>
      <c r="V81" s="1864"/>
    </row>
    <row r="82" spans="1:26" ht="16" thickTop="1">
      <c r="A82" s="369" t="s">
        <v>1619</v>
      </c>
      <c r="B82" s="370" t="s">
        <v>427</v>
      </c>
      <c r="C82" s="371">
        <f ca="1">D63</f>
        <v>90155</v>
      </c>
      <c r="D82" s="372" t="s">
        <v>19</v>
      </c>
      <c r="E82" s="373"/>
      <c r="F82" s="42"/>
      <c r="G82" s="42"/>
      <c r="H82" s="973"/>
      <c r="I82" s="309"/>
      <c r="J82" s="1864"/>
      <c r="K82" s="1864"/>
      <c r="L82" s="1864"/>
      <c r="M82" s="1864"/>
      <c r="N82" s="1864"/>
      <c r="O82" s="1864"/>
      <c r="P82" s="1864"/>
      <c r="Q82" s="1864"/>
      <c r="R82" s="1864"/>
      <c r="S82" s="1864"/>
      <c r="T82" s="1864"/>
      <c r="U82" s="1864"/>
      <c r="V82" s="1864"/>
    </row>
    <row r="83" spans="1:26" ht="15">
      <c r="A83" s="369" t="s">
        <v>1620</v>
      </c>
      <c r="B83" s="370" t="s">
        <v>428</v>
      </c>
      <c r="C83" s="374"/>
      <c r="D83" s="372"/>
      <c r="E83" s="373"/>
      <c r="F83" s="42"/>
      <c r="G83" s="42"/>
      <c r="H83" s="973"/>
      <c r="I83" s="309"/>
      <c r="J83" s="1864"/>
      <c r="K83" s="3633"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5">
      <c r="A84" s="375" t="s">
        <v>1621</v>
      </c>
      <c r="B84" s="376" t="s">
        <v>429</v>
      </c>
      <c r="C84" s="377"/>
      <c r="D84" s="378" t="s">
        <v>19</v>
      </c>
      <c r="E84" s="2734" t="s">
        <v>2696</v>
      </c>
      <c r="F84" s="42"/>
      <c r="G84" s="42"/>
      <c r="H84" s="973"/>
      <c r="I84" s="309"/>
      <c r="J84" s="1864"/>
      <c r="K84" s="3633"/>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5">
      <c r="A85" s="375" t="s">
        <v>1622</v>
      </c>
      <c r="B85" s="376" t="s">
        <v>430</v>
      </c>
      <c r="C85" s="379">
        <f ca="1">C81-C84</f>
        <v>85862</v>
      </c>
      <c r="D85" s="372" t="s">
        <v>19</v>
      </c>
      <c r="E85" s="373"/>
      <c r="F85" s="42"/>
      <c r="G85" s="42"/>
      <c r="H85" s="973"/>
      <c r="I85" s="309"/>
      <c r="J85" s="1864"/>
      <c r="K85" s="3633"/>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6" thickBot="1">
      <c r="A86" s="380" t="s">
        <v>1623</v>
      </c>
      <c r="B86" s="381" t="s">
        <v>431</v>
      </c>
      <c r="C86" s="382">
        <f ca="1">IF(C85&lt;=0,0,ROUND(C85*D86,0))</f>
        <v>4722</v>
      </c>
      <c r="D86" s="383">
        <f>'数据-取费表'!B41</f>
        <v>5.5000000000000007E-2</v>
      </c>
      <c r="E86" s="384"/>
      <c r="F86" s="42"/>
      <c r="G86" s="42"/>
      <c r="H86" s="973"/>
      <c r="I86" s="309"/>
      <c r="J86" s="1864"/>
      <c r="K86" s="3633"/>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633"/>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6" thickBot="1">
      <c r="A88" s="3612" t="s">
        <v>432</v>
      </c>
      <c r="B88" s="3613"/>
      <c r="C88" s="3613"/>
      <c r="D88" s="3613"/>
      <c r="E88" s="3613"/>
      <c r="F88" s="3613"/>
      <c r="G88" s="3613"/>
      <c r="H88" s="3613"/>
      <c r="I88" s="1232"/>
      <c r="J88" s="1872"/>
      <c r="K88" s="3633"/>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5">
      <c r="A89" s="3587" t="s">
        <v>423</v>
      </c>
      <c r="B89" s="3588"/>
      <c r="C89" s="964"/>
      <c r="D89" s="964" t="s">
        <v>424</v>
      </c>
      <c r="E89" s="385" t="s">
        <v>433</v>
      </c>
      <c r="F89" s="386"/>
      <c r="G89" s="386"/>
      <c r="H89" s="387"/>
      <c r="I89" s="1233"/>
      <c r="J89" s="1874"/>
      <c r="K89" s="3633"/>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5">
      <c r="A90" s="375" t="s">
        <v>1618</v>
      </c>
      <c r="B90" s="376" t="s">
        <v>434</v>
      </c>
      <c r="C90" s="379">
        <f ca="1">ROUND(D63/(1+'数据-取费表'!C42),0)</f>
        <v>85862</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5">
      <c r="A91" s="375" t="s">
        <v>1624</v>
      </c>
      <c r="B91" s="346" t="s">
        <v>435</v>
      </c>
      <c r="C91" s="379">
        <f ca="1">C92+C96</f>
        <v>429</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30">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569" t="s">
        <v>441</v>
      </c>
      <c r="F94" s="3568"/>
      <c r="G94" s="3568"/>
      <c r="H94" s="3611"/>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f ca="1">ROUND(D63*D96/(1+'数据-取费表'!C42),0)</f>
        <v>429</v>
      </c>
      <c r="D96" s="400">
        <f>'数据-取费表'!B43</f>
        <v>5.000000000000001E-3</v>
      </c>
      <c r="E96" s="3603" t="s">
        <v>2208</v>
      </c>
      <c r="F96" s="3604"/>
      <c r="G96" s="3604"/>
      <c r="H96" s="3605"/>
      <c r="I96" s="1234"/>
      <c r="J96" s="1875"/>
      <c r="K96" s="1869"/>
      <c r="L96" s="1869"/>
      <c r="M96" s="1869"/>
      <c r="N96" s="1869"/>
      <c r="O96" s="1869"/>
      <c r="P96" s="1869"/>
      <c r="Q96" s="1869"/>
      <c r="R96" s="1869"/>
      <c r="S96" s="1869"/>
      <c r="T96" s="1869"/>
      <c r="U96" s="1869"/>
      <c r="V96" s="1869"/>
      <c r="W96" s="1873"/>
      <c r="X96" s="1873"/>
      <c r="Y96" s="1873"/>
      <c r="Z96" s="1873"/>
    </row>
    <row r="97" spans="1:26" s="1231" customFormat="1" ht="15">
      <c r="A97" s="1501" t="s">
        <v>1630</v>
      </c>
      <c r="B97" s="376" t="s">
        <v>445</v>
      </c>
      <c r="C97" s="379">
        <f ca="1">C90-C91</f>
        <v>85433</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30">
      <c r="A98" s="1501" t="s">
        <v>1631</v>
      </c>
      <c r="B98" s="376" t="s">
        <v>446</v>
      </c>
      <c r="C98" s="401">
        <f ca="1">IF(C97&lt;=0,0,C97/C91)</f>
        <v>199.14452214452214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16" thickBot="1">
      <c r="A99" s="1502" t="s">
        <v>1632</v>
      </c>
      <c r="B99" s="381" t="s">
        <v>447</v>
      </c>
      <c r="C99" s="402">
        <f ca="1">ROUND(IF(C97&lt;=0,0,IF(C98&gt;=200%,C97*60%-C91*35%,IF(C98&gt;=100%,C97*50%-C91*15%,IF(C98&gt;=50%,C97*40%-C91*5%,IF(C98&lt;50%,C97*30%,0))))),0)</f>
        <v>51110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12" t="s">
        <v>448</v>
      </c>
      <c r="B101" s="3613"/>
      <c r="C101" s="3613"/>
      <c r="D101" s="3613"/>
      <c r="E101" s="3613"/>
      <c r="F101" s="3613"/>
      <c r="G101" s="3613"/>
      <c r="H101" s="3613"/>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5">
      <c r="A102" s="3587" t="s">
        <v>423</v>
      </c>
      <c r="B102" s="3588"/>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5">
      <c r="A103" s="375" t="s">
        <v>1618</v>
      </c>
      <c r="B103" s="376" t="s">
        <v>434</v>
      </c>
      <c r="C103" s="379">
        <f ca="1">ROUND(D63/(1+'数据-取费表'!C42),0)</f>
        <v>85862</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5">
      <c r="A104" s="375" t="s">
        <v>1624</v>
      </c>
      <c r="B104" s="346" t="s">
        <v>435</v>
      </c>
      <c r="C104" s="379">
        <f ca="1">IF(H106="仅含出让金",C105+C108+C109+C110+C111+C112,C105+C109+C110+C111+C112)</f>
        <v>429</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5">
      <c r="A108" s="389" t="s">
        <v>1629</v>
      </c>
      <c r="B108" s="370" t="s">
        <v>454</v>
      </c>
      <c r="C108" s="410"/>
      <c r="D108" s="400"/>
      <c r="E108" s="411" t="str">
        <f>IF(H106="-","土地取得成本中已包含该笔费用"," ")</f>
        <v xml:space="preserve"> </v>
      </c>
      <c r="F108" s="956"/>
      <c r="G108" s="3563" t="s">
        <v>2745</v>
      </c>
      <c r="H108" s="3564"/>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06" t="s">
        <v>456</v>
      </c>
      <c r="F109" s="3604"/>
      <c r="G109" s="3604"/>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06" t="s">
        <v>458</v>
      </c>
      <c r="F110" s="3604"/>
      <c r="G110" s="3604"/>
      <c r="H110" s="3605"/>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f ca="1">ROUND(D63*D111/(1+'数据-取费表'!C42),0)</f>
        <v>429</v>
      </c>
      <c r="D111" s="400">
        <f>'数据-取费表'!B43</f>
        <v>5.000000000000001E-3</v>
      </c>
      <c r="E111" s="3603" t="s">
        <v>2208</v>
      </c>
      <c r="F111" s="3604"/>
      <c r="G111" s="3604"/>
      <c r="H111" s="3605"/>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06" t="s">
        <v>2226</v>
      </c>
      <c r="F112" s="3604"/>
      <c r="G112" s="3604"/>
      <c r="H112" s="3605"/>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5">
      <c r="A113" s="1501" t="s">
        <v>1630</v>
      </c>
      <c r="B113" s="376" t="s">
        <v>445</v>
      </c>
      <c r="C113" s="379">
        <f ca="1">ROUND(C103-C104,0)</f>
        <v>85433</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30">
      <c r="A114" s="1501" t="s">
        <v>1631</v>
      </c>
      <c r="B114" s="376" t="s">
        <v>446</v>
      </c>
      <c r="C114" s="401">
        <f ca="1">IF(C113&lt;=0,0,C113/C104)</f>
        <v>199.14452214452214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16" thickBot="1">
      <c r="A115" s="1502" t="s">
        <v>1632</v>
      </c>
      <c r="B115" s="381" t="s">
        <v>447</v>
      </c>
      <c r="C115" s="402">
        <f ca="1">ROUND(IF(C113&lt;=0,0,IF(C114&gt;=200%,C113*60%-C104*35%,IF(C114&gt;=100%,C113*50%-C104*15%,IF(C114&gt;=50%,C113*40%-C104*5%,IF(C114&lt;50%,C113*30%,0))))),0)</f>
        <v>51110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77"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C13" sqref="C13"/>
    </sheetView>
  </sheetViews>
  <sheetFormatPr baseColWidth="10" defaultColWidth="6.6640625" defaultRowHeight="13"/>
  <cols>
    <col min="1" max="1" width="9.6640625" style="1959" customWidth="1"/>
    <col min="2" max="2" width="25.6640625" style="1949" customWidth="1"/>
    <col min="3" max="3" width="10.33203125" style="1960" customWidth="1"/>
    <col min="4" max="4" width="12" style="1949" customWidth="1"/>
    <col min="5" max="5" width="9.5" style="1959" customWidth="1"/>
    <col min="6" max="6" width="10.1640625" style="1949" customWidth="1"/>
    <col min="7" max="7" width="11.6640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640625" style="1949"/>
  </cols>
  <sheetData>
    <row r="1" spans="1:31" s="1877" customFormat="1" ht="20">
      <c r="A1" s="1938"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125478</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16741</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26507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1767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 ca="1">SUM(C10:K10)</f>
        <v>167804</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4">
      <c r="A7" s="2498" t="s">
        <v>464</v>
      </c>
      <c r="B7" s="2499" t="s">
        <v>465</v>
      </c>
      <c r="C7" s="430" t="s">
        <v>897</v>
      </c>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74951.23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 ca="1">不动产收益法!C40</f>
        <v>167804</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0</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0</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0.1</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1349</v>
      </c>
      <c r="D16" s="2510">
        <f ca="1">IF(B1="",'数据-汇总表'!E3,INDIRECT("'数据-取费表'!K"&amp;$K$1)+INDIRECT("'数据-取费表'!S"&amp;$K$1))</f>
        <v>74951.23</v>
      </c>
      <c r="E16" s="53">
        <f>'数据-取费表'!B35</f>
        <v>180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0</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1349</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74951.23</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1499</v>
      </c>
      <c r="D20" s="2520"/>
      <c r="E20" s="2474"/>
      <c r="F20" s="2521"/>
      <c r="G20" s="2723" t="s">
        <v>3267</v>
      </c>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1499</v>
      </c>
      <c r="D21" s="2510">
        <f ca="1">IF(B1="",'数据-汇总表'!E5,IF(INDIRECT("'数据-取费表'!c"&amp;$K$1)="住宅",INDIRECT("'数据-取费表'!k"&amp;$K$1),0))</f>
        <v>74951.23</v>
      </c>
      <c r="E21" s="53">
        <f>'数据-取费表'!B27</f>
        <v>200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155</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f ca="1">ROUND((C18+C19+C20)*F23,0)</f>
        <v>57</v>
      </c>
      <c r="D23" s="461"/>
      <c r="E23" s="461"/>
      <c r="F23" s="2522">
        <f>'数据-取费表'!B37</f>
        <v>0.02</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 ca="1">ROUND(C6*F24,0)</f>
        <v>3356</v>
      </c>
      <c r="D24" s="468"/>
      <c r="E24" s="466"/>
      <c r="F24" s="2522">
        <f>'数据-取费表'!B38</f>
        <v>0.02</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f ca="1">C28</f>
        <v>73</v>
      </c>
      <c r="D26" s="460">
        <f ca="1">C27</f>
        <v>2.4199999999999999E-2</v>
      </c>
      <c r="E26" s="462" t="s">
        <v>487</v>
      </c>
      <c r="F26" s="464">
        <f ca="1">'数据-取费表'!B40</f>
        <v>4.7500000000000001E-2</v>
      </c>
      <c r="G26" s="2373" t="str">
        <f>IF('数据-取费表'!B22&lt;=1,"单利计息。","复利计息。")&amp;"后续开发成本、管理费用及销售费用产生的利息。"</f>
        <v>复利计息。后续开发成本、管理费用及销售费用产生的利息。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2.4199999999999999E-2</v>
      </c>
      <c r="D27" s="465"/>
      <c r="E27" s="466"/>
      <c r="F27" s="467"/>
      <c r="G27" s="2373" t="str">
        <f>IF('数据-取费表'!B22&lt;=1,"（1+取得税费率/(1+5%)）×年利率×建设期","（1+取得税费率）/(1+5%)×((1+年利率)^建设期-1)")</f>
        <v>（1+取得税费率）/(1+5%)×((1+年利率)^建设期-1)</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f ca="1">ROUND(IF('数据-取费表'!B22&lt;=1,(C18+C19+C20+C23+C24)*F26*'数据-取费表'!B24/2,(C18+C19+C20+C23+C24)*(POWER((1+F26),'数据-取费表'!B24/2)-1)),0)</f>
        <v>73</v>
      </c>
      <c r="D28" s="465"/>
      <c r="E28" s="466"/>
      <c r="F28" s="467"/>
      <c r="G28" s="2373" t="str">
        <f>IF('数据-取费表'!B22&lt;=1,"（1）-（4）项×年利率×建设期÷2","（1）-（4）项×((1+年利率)^(建设期÷2)-1)")</f>
        <v>（1）-（4）项×((1+年利率)^(建设期÷2)-1)</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 ca="1">ROUND(C6*F29/(1+'数据-取费表'!C42),0)</f>
        <v>8790</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15124</v>
      </c>
      <c r="D30" s="470">
        <f ca="1">C32</f>
        <v>5.4699999999999999E-2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15124</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5.4699999999999999E-2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f ca="1">C35</f>
        <v>939</v>
      </c>
      <c r="D33" s="460">
        <f ca="1">C34</f>
        <v>0.15459999999999999</v>
      </c>
      <c r="E33" s="462" t="s">
        <v>487</v>
      </c>
      <c r="F33" s="472">
        <f ca="1">IF(B1="",'数据-取费表'!Q16,INDIRECT("'数据-取费表'!q"&amp;$K$1))</f>
        <v>0.15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0.15459999999999999</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f ca="1">ROUND((C18+C19+C20+C23+C24)*F33,0)</f>
        <v>939</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125478</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6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tabSelected="1" view="pageBreakPreview" topLeftCell="A4" zoomScale="90" zoomScaleNormal="80" zoomScaleSheetLayoutView="90" workbookViewId="0">
      <selection activeCell="H46" sqref="H46"/>
    </sheetView>
  </sheetViews>
  <sheetFormatPr baseColWidth="10" defaultColWidth="6.6640625" defaultRowHeight="13"/>
  <cols>
    <col min="1" max="1" width="10.1640625" style="1959" customWidth="1"/>
    <col min="2" max="2" width="25.6640625" style="1949" customWidth="1"/>
    <col min="3" max="3" width="10.33203125" style="1960" customWidth="1"/>
    <col min="4" max="4" width="12" style="1949" customWidth="1"/>
    <col min="5" max="5" width="9.5" style="1959" customWidth="1"/>
    <col min="6" max="6" width="10.16406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640625" style="1949"/>
  </cols>
  <sheetData>
    <row r="1" spans="1:41" s="1877" customFormat="1" ht="20">
      <c r="A1" s="415" t="s">
        <v>460</v>
      </c>
      <c r="B1" s="2475" t="s">
        <v>897</v>
      </c>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90154.631563403163</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12028</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19045</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1270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 ca="1">SUM(C10:K10)</f>
        <v>167804</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4">
      <c r="A7" s="428" t="s">
        <v>464</v>
      </c>
      <c r="B7" s="429" t="s">
        <v>465</v>
      </c>
      <c r="C7" s="430" t="s">
        <v>897</v>
      </c>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74951.23</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f ca="1">不动产收益法!C40</f>
        <v>167804</v>
      </c>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33728</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1012</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3373</v>
      </c>
      <c r="D15" s="444"/>
      <c r="E15" s="363"/>
      <c r="F15" s="446">
        <f>'数据-取费表'!B34</f>
        <v>0.1</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1349</v>
      </c>
      <c r="D16" s="444">
        <f ca="1">IF(B1="",'数据-汇总表'!E3,INDIRECT("'数据-取费表'!K"&amp;$K$1)+INDIRECT("'数据-取费表'!S"&amp;$K$1))</f>
        <v>74951.23</v>
      </c>
      <c r="E16" s="53">
        <f>'数据-取费表'!B35</f>
        <v>180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506</v>
      </c>
      <c r="D17" s="448"/>
      <c r="E17" s="447"/>
      <c r="F17" s="449">
        <v>1.4999999999999999E-2</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39968</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799</v>
      </c>
      <c r="D19" s="454"/>
      <c r="E19" s="455"/>
      <c r="F19" s="459">
        <f>'数据-取费表'!B37</f>
        <v>0.02</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1936</v>
      </c>
      <c r="D20" s="455">
        <f ca="1">ROUND(((1+F20)^'[3]数据-取费表'!B20)-1,4)</f>
        <v>0</v>
      </c>
      <c r="E20" s="455"/>
      <c r="F20" s="464">
        <f ca="1">'数据-取费表'!B40</f>
        <v>4.7500000000000001E-2</v>
      </c>
      <c r="G20" s="1243" t="str">
        <f>IF('[3]数据-取费表'!B22&lt;=1,"单利计息。","复利计息。")&amp;"建造成本、管理费用产生的利息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6115</v>
      </c>
      <c r="D21" s="3216"/>
      <c r="E21" s="455"/>
      <c r="F21" s="472">
        <f ca="1">IF(B1="",'数据-取费表'!Q16,INDIRECT("'数据-取费表'!q"&amp;$K$1))</f>
        <v>0.15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1</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48818</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45" t="s">
        <v>2811</v>
      </c>
      <c r="B24" s="3646"/>
      <c r="C24" s="3224">
        <f ca="1">ROUND(C6*F24/(1+'数据-取费表'!B42),0)</f>
        <v>8790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45" t="s">
        <v>2812</v>
      </c>
      <c r="B25" s="3646"/>
      <c r="C25" s="3224">
        <f ca="1">ROUND(C6*F25,0)</f>
        <v>3356</v>
      </c>
      <c r="D25" s="3225"/>
      <c r="E25" s="455"/>
      <c r="F25" s="3229">
        <f>'数据-取费表'!B38</f>
        <v>0.02</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45" t="s">
        <v>2813</v>
      </c>
      <c r="B26" s="3646"/>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47" t="s">
        <v>2814</v>
      </c>
      <c r="B27" s="3648"/>
      <c r="C27" s="3237">
        <f ca="1">(C6-C23-C24-C25)/((1+F26)*(1+D20+F21))</f>
        <v>90154.631563403163</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D32" s="1950">
        <v>12812</v>
      </c>
      <c r="E32" s="3142">
        <v>0.5</v>
      </c>
      <c r="F32" s="1950">
        <f ca="1">ROUND(D32*E32+B3*E33,0)</f>
        <v>12420</v>
      </c>
      <c r="G32" s="1950">
        <f ca="1">ROUND(F32*C9/10000,0)</f>
        <v>93089</v>
      </c>
    </row>
    <row r="33" spans="1:8" s="1950" customFormat="1">
      <c r="A33" s="3142"/>
      <c r="C33" s="3143"/>
      <c r="E33" s="3142">
        <f>1-E32</f>
        <v>0.5</v>
      </c>
    </row>
    <row r="34" spans="1:8" s="1950" customFormat="1">
      <c r="A34" s="3142"/>
      <c r="C34" s="3143"/>
      <c r="E34" s="3142"/>
      <c r="F34" s="1950">
        <v>2189</v>
      </c>
      <c r="G34" s="1950">
        <f>ROUND(F34*C9/10000,0)</f>
        <v>16407</v>
      </c>
    </row>
    <row r="35" spans="1:8" s="1950" customFormat="1">
      <c r="A35" s="3142"/>
      <c r="C35" s="3143"/>
      <c r="E35" s="3142"/>
    </row>
    <row r="36" spans="1:8" s="1950" customFormat="1">
      <c r="A36" s="3142"/>
      <c r="C36" s="3143"/>
      <c r="E36" s="3142"/>
      <c r="F36" s="1950">
        <f ca="1">F32-F34</f>
        <v>10231</v>
      </c>
      <c r="G36" s="1950">
        <f ca="1">G32-G34</f>
        <v>76682</v>
      </c>
    </row>
    <row r="37" spans="1:8" s="1950" customFormat="1">
      <c r="A37" s="3142"/>
      <c r="C37" s="3143"/>
      <c r="E37" s="3142"/>
    </row>
    <row r="38" spans="1:8" s="1950" customFormat="1">
      <c r="A38" s="3142"/>
      <c r="C38" s="3143"/>
      <c r="E38" s="3142"/>
    </row>
    <row r="39" spans="1:8" s="1950" customFormat="1">
      <c r="A39" s="3142"/>
      <c r="C39" s="3143"/>
      <c r="E39" s="3142"/>
    </row>
    <row r="40" spans="1:8" s="1950" customFormat="1">
      <c r="A40" s="3142"/>
      <c r="C40" s="3143"/>
      <c r="E40" s="3142"/>
    </row>
    <row r="41" spans="1:8" s="1950" customFormat="1">
      <c r="A41" s="3142"/>
      <c r="C41" s="3143"/>
      <c r="E41" s="3142"/>
      <c r="F41" s="1950">
        <v>2578</v>
      </c>
    </row>
    <row r="42" spans="1:8" s="1950" customFormat="1">
      <c r="A42" s="3142"/>
      <c r="C42" s="3143"/>
      <c r="E42" s="3142"/>
      <c r="F42" s="1950">
        <f>ROUND((F34+F41)/2,0)</f>
        <v>2384</v>
      </c>
    </row>
    <row r="43" spans="1:8" s="1950" customFormat="1">
      <c r="A43" s="3142"/>
      <c r="C43" s="3143"/>
      <c r="E43" s="3142"/>
    </row>
    <row r="44" spans="1:8" s="1950" customFormat="1">
      <c r="A44" s="3142"/>
      <c r="C44" s="3143"/>
      <c r="E44" s="3142"/>
    </row>
    <row r="45" spans="1:8" s="1950" customFormat="1">
      <c r="A45" s="3142"/>
      <c r="C45" s="3143"/>
      <c r="E45" s="3142"/>
      <c r="F45" s="1950">
        <f ca="1">F32-F42</f>
        <v>10036</v>
      </c>
      <c r="G45" s="1950">
        <v>74951.23</v>
      </c>
      <c r="H45" s="1950">
        <f ca="1">F45*G45/10000</f>
        <v>75221.054428000003</v>
      </c>
    </row>
    <row r="46" spans="1:8" s="1950" customFormat="1">
      <c r="A46" s="3142"/>
      <c r="C46" s="3143"/>
      <c r="E46" s="3142"/>
    </row>
    <row r="47" spans="1:8" s="1950" customFormat="1">
      <c r="A47" s="3142"/>
      <c r="C47" s="3143"/>
      <c r="E47" s="3142"/>
    </row>
    <row r="48" spans="1:8"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algorithmName="SHA-512" hashValue="gUC6VpCLsbPuTmEOS5EoRLRrLzTFBr8bTqoCCLXDmGznXWfWj9SrQbjgUmOYJt9j2W/GoAhfcdZBEkq9PWUdoA==" saltValue="QWZB0+R3AJY4fgfGdToB1Q==" spinCount="100000"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baseColWidth="10" defaultColWidth="9" defaultRowHeight="14"/>
  <cols>
    <col min="1" max="1" width="3.5" style="1538" customWidth="1"/>
    <col min="2" max="2" width="10.6640625" style="1538" customWidth="1"/>
    <col min="3" max="4" width="11.6640625" style="1538" customWidth="1"/>
    <col min="5" max="5" width="6.6640625" style="1538" customWidth="1"/>
    <col min="6" max="16384" width="9" style="1538"/>
  </cols>
  <sheetData>
    <row r="36" spans="1:9">
      <c r="A36" s="1537" t="s">
        <v>1690</v>
      </c>
      <c r="B36" s="1537" t="s">
        <v>1691</v>
      </c>
    </row>
    <row r="37" spans="1:9" ht="28.5" customHeight="1">
      <c r="A37" s="1537"/>
      <c r="B37" s="3472" t="str">
        <f>项目基本情况!B1</f>
        <v>北京市出让国有建设用地使用权市场价格预评估</v>
      </c>
      <c r="C37" s="3472"/>
      <c r="D37" s="3472"/>
      <c r="E37" s="3472"/>
      <c r="F37" s="3472"/>
      <c r="G37" s="3472"/>
      <c r="H37" s="3472"/>
      <c r="I37" s="3472"/>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62" sqref="A62:XFD62"/>
    </sheetView>
  </sheetViews>
  <sheetFormatPr baseColWidth="10" defaultColWidth="9" defaultRowHeight="14"/>
  <cols>
    <col min="1" max="2" width="15.6640625" style="1246" customWidth="1"/>
    <col min="3" max="3" width="15.1640625" style="1246" customWidth="1"/>
    <col min="4" max="4" width="12.1640625" style="1246" customWidth="1"/>
    <col min="5" max="5" width="16.1640625" style="1246" customWidth="1"/>
    <col min="6" max="6" width="12.1640625" style="1246" customWidth="1"/>
    <col min="7" max="7" width="15.6640625" style="1246" customWidth="1"/>
    <col min="8" max="8" width="12.1640625" style="1246" customWidth="1"/>
    <col min="9" max="9" width="15.664062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
      <c r="A6" s="488" t="s">
        <v>499</v>
      </c>
      <c r="B6" s="489"/>
      <c r="C6" s="3656" t="s">
        <v>500</v>
      </c>
      <c r="D6" s="3657"/>
      <c r="E6" s="3656" t="s">
        <v>501</v>
      </c>
      <c r="F6" s="3657"/>
      <c r="G6" s="3656" t="s">
        <v>502</v>
      </c>
      <c r="H6" s="3657"/>
      <c r="I6" s="3656" t="s">
        <v>503</v>
      </c>
      <c r="J6" s="3657"/>
      <c r="K6" s="490" t="s">
        <v>504</v>
      </c>
      <c r="L6" s="1967"/>
      <c r="M6" s="1966"/>
      <c r="N6" s="1966"/>
      <c r="O6" s="1968"/>
      <c r="P6" s="3658" t="s">
        <v>505</v>
      </c>
      <c r="Q6" s="3659"/>
      <c r="R6" s="3664" t="s">
        <v>501</v>
      </c>
      <c r="S6" s="3665"/>
      <c r="T6" s="3664" t="s">
        <v>502</v>
      </c>
      <c r="U6" s="3665"/>
      <c r="V6" s="3651" t="s">
        <v>503</v>
      </c>
      <c r="W6" s="3651"/>
      <c r="X6" s="1457"/>
      <c r="Y6" s="3664" t="s">
        <v>505</v>
      </c>
      <c r="Z6" s="3665"/>
      <c r="AA6" s="3653" t="s">
        <v>501</v>
      </c>
      <c r="AB6" s="3654" t="s">
        <v>502</v>
      </c>
      <c r="AC6" s="3653" t="s">
        <v>503</v>
      </c>
    </row>
    <row r="7" spans="1:30" ht="20">
      <c r="A7" s="491"/>
      <c r="B7" s="492"/>
      <c r="C7" s="3672" t="s">
        <v>2685</v>
      </c>
      <c r="D7" s="3673"/>
      <c r="E7" s="3672" t="s">
        <v>2686</v>
      </c>
      <c r="F7" s="3673"/>
      <c r="G7" s="3672" t="s">
        <v>2687</v>
      </c>
      <c r="H7" s="3673"/>
      <c r="I7" s="3672" t="s">
        <v>2688</v>
      </c>
      <c r="J7" s="3673"/>
      <c r="K7" s="490"/>
      <c r="L7" s="1967"/>
      <c r="M7" s="1966"/>
      <c r="N7" s="1966"/>
      <c r="O7" s="1968"/>
      <c r="P7" s="3660"/>
      <c r="Q7" s="3661"/>
      <c r="R7" s="3666"/>
      <c r="S7" s="3667"/>
      <c r="T7" s="3666"/>
      <c r="U7" s="3667"/>
      <c r="V7" s="3651"/>
      <c r="W7" s="3651"/>
      <c r="X7" s="1457"/>
      <c r="Y7" s="3666"/>
      <c r="Z7" s="3667"/>
      <c r="AA7" s="3654"/>
      <c r="AB7" s="3654"/>
      <c r="AC7" s="3654"/>
    </row>
    <row r="8" spans="1:30" ht="21" thickBot="1">
      <c r="A8" s="491"/>
      <c r="B8" s="492"/>
      <c r="C8" s="3674" t="s">
        <v>2689</v>
      </c>
      <c r="D8" s="3675"/>
      <c r="E8" s="3674" t="s">
        <v>2689</v>
      </c>
      <c r="F8" s="3675"/>
      <c r="G8" s="3670" t="s">
        <v>2689</v>
      </c>
      <c r="H8" s="3671"/>
      <c r="I8" s="3670" t="s">
        <v>2689</v>
      </c>
      <c r="J8" s="3671"/>
      <c r="K8" s="490" t="s">
        <v>506</v>
      </c>
      <c r="L8" s="1967"/>
      <c r="M8" s="1966"/>
      <c r="N8" s="1966"/>
      <c r="O8" s="1968"/>
      <c r="P8" s="3662"/>
      <c r="Q8" s="3663"/>
      <c r="R8" s="3666"/>
      <c r="S8" s="3667"/>
      <c r="T8" s="3668"/>
      <c r="U8" s="3669"/>
      <c r="V8" s="3651"/>
      <c r="W8" s="3651"/>
      <c r="X8" s="1457"/>
      <c r="Y8" s="3668"/>
      <c r="Z8" s="3669"/>
      <c r="AA8" s="3655"/>
      <c r="AB8" s="3655"/>
      <c r="AC8" s="3655"/>
    </row>
    <row r="9" spans="1:30" s="1166" customFormat="1" ht="21" thickBot="1">
      <c r="A9" s="2578"/>
      <c r="B9" s="2585" t="s">
        <v>507</v>
      </c>
      <c r="C9" s="2577">
        <f>'数据-取费表'!B2</f>
        <v>44826</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80" t="s">
        <v>508</v>
      </c>
      <c r="Q9" s="3682"/>
      <c r="R9" s="1458" t="s">
        <v>8</v>
      </c>
      <c r="S9" s="1459">
        <f t="shared" ref="S9:S17" si="0">F9</f>
        <v>0</v>
      </c>
      <c r="T9" s="1458" t="s">
        <v>8</v>
      </c>
      <c r="U9" s="1459">
        <f t="shared" ref="U9:U17" si="1">H9</f>
        <v>0</v>
      </c>
      <c r="V9" s="1458" t="s">
        <v>8</v>
      </c>
      <c r="W9" s="1459">
        <f t="shared" ref="W9:W17" si="2">J9</f>
        <v>0</v>
      </c>
      <c r="X9" s="1460"/>
      <c r="Y9" s="3680" t="s">
        <v>508</v>
      </c>
      <c r="Z9" s="3681"/>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80" t="s">
        <v>511</v>
      </c>
      <c r="Q10" s="3681"/>
      <c r="R10" s="1458" t="s">
        <v>8</v>
      </c>
      <c r="S10" s="1459">
        <f t="shared" si="0"/>
        <v>0</v>
      </c>
      <c r="T10" s="1458" t="s">
        <v>8</v>
      </c>
      <c r="U10" s="1459">
        <f t="shared" si="1"/>
        <v>0</v>
      </c>
      <c r="V10" s="1458" t="s">
        <v>8</v>
      </c>
      <c r="W10" s="1459">
        <f t="shared" si="2"/>
        <v>0</v>
      </c>
      <c r="X10" s="1460"/>
      <c r="Y10" s="3680" t="s">
        <v>511</v>
      </c>
      <c r="Z10" s="3681"/>
      <c r="AA10" s="1461" t="e">
        <f t="shared" ref="AA10:AA47" si="3">D10/F10</f>
        <v>#DIV/0!</v>
      </c>
      <c r="AB10" s="1461" t="e">
        <f t="shared" ref="AB10:AB47" si="4">D10/H10</f>
        <v>#DIV/0!</v>
      </c>
      <c r="AC10" s="1461" t="e">
        <f t="shared" ref="AC10:AC47" si="5">D10/J10</f>
        <v>#DIV/0!</v>
      </c>
    </row>
    <row r="11" spans="1:30" s="1166" customFormat="1" ht="20">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50" t="s">
        <v>513</v>
      </c>
      <c r="Q11" s="1097" t="str">
        <f t="shared" ref="Q11:Q17" si="6">B11</f>
        <v>用途</v>
      </c>
      <c r="R11" s="1458" t="s">
        <v>8</v>
      </c>
      <c r="S11" s="1459">
        <f t="shared" si="0"/>
        <v>100</v>
      </c>
      <c r="T11" s="1458" t="s">
        <v>8</v>
      </c>
      <c r="U11" s="1459">
        <f t="shared" si="1"/>
        <v>100</v>
      </c>
      <c r="V11" s="1458" t="s">
        <v>8</v>
      </c>
      <c r="W11" s="1459">
        <f t="shared" si="2"/>
        <v>100</v>
      </c>
      <c r="X11" s="1460"/>
      <c r="Y11" s="3594" t="s">
        <v>514</v>
      </c>
      <c r="Z11" s="1096" t="str">
        <f t="shared" ref="Z11:Z17" si="7">Q11</f>
        <v>用途</v>
      </c>
      <c r="AA11" s="1461">
        <f t="shared" si="3"/>
        <v>1</v>
      </c>
      <c r="AB11" s="1461">
        <f t="shared" si="4"/>
        <v>1</v>
      </c>
      <c r="AC11" s="1461">
        <f t="shared" si="5"/>
        <v>1</v>
      </c>
    </row>
    <row r="12" spans="1:30" s="1247" customFormat="1" ht="30">
      <c r="A12" s="2581"/>
      <c r="B12" s="2586" t="s">
        <v>2528</v>
      </c>
      <c r="C12" s="881"/>
      <c r="D12" s="253">
        <v>100</v>
      </c>
      <c r="E12" s="505"/>
      <c r="F12" s="253">
        <f>ROUND(100/'数据-取费表'!G16,0)</f>
        <v>100</v>
      </c>
      <c r="G12" s="506"/>
      <c r="H12" s="253">
        <f>ROUND(100/'数据-取费表'!G16,0)</f>
        <v>100</v>
      </c>
      <c r="I12" s="506"/>
      <c r="J12" s="253">
        <f>ROUND(100/'数据-取费表'!G16,0)</f>
        <v>100</v>
      </c>
      <c r="K12" s="507"/>
      <c r="L12" s="1972"/>
      <c r="M12" s="1966"/>
      <c r="N12" s="1966"/>
      <c r="O12" s="1973"/>
      <c r="P12" s="3650"/>
      <c r="Q12" s="1097" t="str">
        <f t="shared" si="6"/>
        <v>土地使用年限（年）</v>
      </c>
      <c r="R12" s="1458" t="s">
        <v>8</v>
      </c>
      <c r="S12" s="1459">
        <f t="shared" si="0"/>
        <v>100</v>
      </c>
      <c r="T12" s="1458" t="s">
        <v>8</v>
      </c>
      <c r="U12" s="1459">
        <f t="shared" si="1"/>
        <v>100</v>
      </c>
      <c r="V12" s="1458" t="s">
        <v>8</v>
      </c>
      <c r="W12" s="1459">
        <f t="shared" si="2"/>
        <v>100</v>
      </c>
      <c r="X12" s="1460"/>
      <c r="Y12" s="3594"/>
      <c r="Z12" s="1096" t="str">
        <f t="shared" si="7"/>
        <v>土地使用年限（年）</v>
      </c>
      <c r="AA12" s="1461">
        <f t="shared" si="3"/>
        <v>1</v>
      </c>
      <c r="AB12" s="1461">
        <f t="shared" si="4"/>
        <v>1</v>
      </c>
      <c r="AC12" s="1461">
        <f t="shared" si="5"/>
        <v>1</v>
      </c>
    </row>
    <row r="13" spans="1:30" ht="20">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50"/>
      <c r="Q13" s="1097" t="str">
        <f t="shared" si="6"/>
        <v>容积率</v>
      </c>
      <c r="R13" s="1458" t="s">
        <v>8</v>
      </c>
      <c r="S13" s="1459" t="e">
        <f t="shared" si="0"/>
        <v>#N/A</v>
      </c>
      <c r="T13" s="1458" t="s">
        <v>8</v>
      </c>
      <c r="U13" s="1459" t="e">
        <f t="shared" si="1"/>
        <v>#N/A</v>
      </c>
      <c r="V13" s="1458" t="s">
        <v>8</v>
      </c>
      <c r="W13" s="1459" t="e">
        <f t="shared" si="2"/>
        <v>#N/A</v>
      </c>
      <c r="X13" s="1460"/>
      <c r="Y13" s="3594"/>
      <c r="Z13" s="1096" t="str">
        <f t="shared" si="7"/>
        <v>容积率</v>
      </c>
      <c r="AA13" s="1461" t="e">
        <f t="shared" si="3"/>
        <v>#N/A</v>
      </c>
      <c r="AB13" s="1461" t="e">
        <f t="shared" si="4"/>
        <v>#N/A</v>
      </c>
      <c r="AC13" s="1461" t="e">
        <f t="shared" si="5"/>
        <v>#N/A</v>
      </c>
    </row>
    <row r="14" spans="1:30" s="1166" customFormat="1" ht="20">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50"/>
      <c r="Q14" s="1097" t="str">
        <f t="shared" si="6"/>
        <v>配建</v>
      </c>
      <c r="R14" s="1458" t="s">
        <v>8</v>
      </c>
      <c r="S14" s="1459">
        <f t="shared" si="0"/>
        <v>100</v>
      </c>
      <c r="T14" s="1458" t="s">
        <v>8</v>
      </c>
      <c r="U14" s="1459">
        <f t="shared" si="1"/>
        <v>100</v>
      </c>
      <c r="V14" s="1458" t="s">
        <v>8</v>
      </c>
      <c r="W14" s="1459">
        <f t="shared" si="2"/>
        <v>100</v>
      </c>
      <c r="X14" s="1460"/>
      <c r="Y14" s="3594"/>
      <c r="Z14" s="1096" t="str">
        <f t="shared" si="7"/>
        <v>配建</v>
      </c>
      <c r="AA14" s="1461">
        <f>D14/F14</f>
        <v>1</v>
      </c>
      <c r="AB14" s="1461">
        <f>D14/H14</f>
        <v>1</v>
      </c>
      <c r="AC14" s="1461">
        <f>D14/J14</f>
        <v>1</v>
      </c>
    </row>
    <row r="15" spans="1:30" ht="20">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50"/>
      <c r="Q15" s="1097">
        <f t="shared" si="6"/>
        <v>111</v>
      </c>
      <c r="R15" s="1458" t="s">
        <v>8</v>
      </c>
      <c r="S15" s="1459">
        <f t="shared" si="0"/>
        <v>100</v>
      </c>
      <c r="T15" s="1458" t="s">
        <v>8</v>
      </c>
      <c r="U15" s="1459">
        <f t="shared" si="1"/>
        <v>100</v>
      </c>
      <c r="V15" s="1458" t="s">
        <v>8</v>
      </c>
      <c r="W15" s="1459">
        <f t="shared" si="2"/>
        <v>100</v>
      </c>
      <c r="X15" s="1460"/>
      <c r="Y15" s="3594"/>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50"/>
      <c r="Q16" s="1097">
        <f t="shared" si="6"/>
        <v>111</v>
      </c>
      <c r="R16" s="1458" t="s">
        <v>8</v>
      </c>
      <c r="S16" s="1459">
        <f t="shared" si="0"/>
        <v>100</v>
      </c>
      <c r="T16" s="1458" t="s">
        <v>8</v>
      </c>
      <c r="U16" s="1459">
        <f t="shared" si="1"/>
        <v>100</v>
      </c>
      <c r="V16" s="1458" t="s">
        <v>8</v>
      </c>
      <c r="W16" s="1459">
        <f t="shared" si="2"/>
        <v>100</v>
      </c>
      <c r="X16" s="1460"/>
      <c r="Y16" s="3594"/>
      <c r="Z16" s="1096">
        <f t="shared" si="7"/>
        <v>111</v>
      </c>
      <c r="AA16" s="1461">
        <f>D16/F16</f>
        <v>1</v>
      </c>
      <c r="AB16" s="1461">
        <f>D16/H16</f>
        <v>1</v>
      </c>
      <c r="AC16" s="1461">
        <f>D16/J16</f>
        <v>1</v>
      </c>
    </row>
    <row r="17" spans="1:29" ht="10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83" t="s">
        <v>518</v>
      </c>
      <c r="Q17" s="1462" t="str">
        <f t="shared" si="6"/>
        <v>居住社区成熟度</v>
      </c>
      <c r="R17" s="1463" t="s">
        <v>8</v>
      </c>
      <c r="S17" s="1464">
        <f t="shared" si="0"/>
        <v>100</v>
      </c>
      <c r="T17" s="1463" t="s">
        <v>8</v>
      </c>
      <c r="U17" s="1464">
        <f t="shared" si="1"/>
        <v>100</v>
      </c>
      <c r="V17" s="1463" t="s">
        <v>8</v>
      </c>
      <c r="W17" s="1464">
        <f t="shared" si="2"/>
        <v>100</v>
      </c>
      <c r="X17" s="1457"/>
      <c r="Y17" s="3683" t="s">
        <v>518</v>
      </c>
      <c r="Z17" s="1465" t="str">
        <f t="shared" si="7"/>
        <v>居住社区成熟度</v>
      </c>
      <c r="AA17" s="1466">
        <f t="shared" si="3"/>
        <v>1</v>
      </c>
      <c r="AB17" s="1466">
        <f t="shared" si="4"/>
        <v>1</v>
      </c>
      <c r="AC17" s="1466">
        <f t="shared" si="5"/>
        <v>1</v>
      </c>
    </row>
    <row r="18" spans="1:29" ht="20">
      <c r="A18" s="508"/>
      <c r="B18" s="529"/>
      <c r="C18" s="530"/>
      <c r="D18" s="533"/>
      <c r="E18" s="534"/>
      <c r="F18" s="531"/>
      <c r="G18" s="532"/>
      <c r="H18" s="535"/>
      <c r="I18" s="534"/>
      <c r="J18" s="531"/>
      <c r="K18" s="507"/>
      <c r="L18" s="1976"/>
      <c r="M18" s="1966"/>
      <c r="N18" s="1966"/>
      <c r="O18" s="1975"/>
      <c r="P18" s="3684"/>
      <c r="Q18" s="1462"/>
      <c r="R18" s="1463"/>
      <c r="S18" s="1464"/>
      <c r="T18" s="1463"/>
      <c r="U18" s="1464"/>
      <c r="V18" s="1463"/>
      <c r="W18" s="1464"/>
      <c r="X18" s="1457"/>
      <c r="Y18" s="3684"/>
      <c r="Z18" s="1465"/>
      <c r="AA18" s="1466">
        <v>1</v>
      </c>
      <c r="AB18" s="1466">
        <v>1</v>
      </c>
      <c r="AC18" s="1466">
        <v>1</v>
      </c>
    </row>
    <row r="19" spans="1:29" ht="7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84"/>
      <c r="Q19" s="1462" t="str">
        <f>B19</f>
        <v>商业繁华度</v>
      </c>
      <c r="R19" s="1463" t="s">
        <v>8</v>
      </c>
      <c r="S19" s="1464">
        <f>F19</f>
        <v>100</v>
      </c>
      <c r="T19" s="1463" t="s">
        <v>8</v>
      </c>
      <c r="U19" s="1464">
        <f>H19</f>
        <v>100</v>
      </c>
      <c r="V19" s="1463" t="s">
        <v>8</v>
      </c>
      <c r="W19" s="1464">
        <f>J19</f>
        <v>100</v>
      </c>
      <c r="X19" s="1457"/>
      <c r="Y19" s="3684"/>
      <c r="Z19" s="1465" t="str">
        <f>Q19</f>
        <v>商业繁华度</v>
      </c>
      <c r="AA19" s="1466">
        <f t="shared" si="3"/>
        <v>1</v>
      </c>
      <c r="AB19" s="1466">
        <f t="shared" si="4"/>
        <v>1</v>
      </c>
      <c r="AC19" s="1466">
        <f t="shared" si="5"/>
        <v>1</v>
      </c>
    </row>
    <row r="20" spans="1:29" ht="20">
      <c r="A20" s="508"/>
      <c r="B20" s="542"/>
      <c r="C20" s="543"/>
      <c r="D20" s="539"/>
      <c r="E20" s="545"/>
      <c r="F20" s="535"/>
      <c r="G20" s="544"/>
      <c r="H20" s="531"/>
      <c r="I20" s="545"/>
      <c r="J20" s="531"/>
      <c r="K20" s="507"/>
      <c r="L20" s="1976"/>
      <c r="M20" s="1966"/>
      <c r="N20" s="1966"/>
      <c r="O20" s="1975"/>
      <c r="P20" s="3684"/>
      <c r="Q20" s="1462"/>
      <c r="R20" s="1463"/>
      <c r="S20" s="1464"/>
      <c r="T20" s="1463"/>
      <c r="U20" s="1464"/>
      <c r="V20" s="1463"/>
      <c r="W20" s="1464"/>
      <c r="X20" s="1457"/>
      <c r="Y20" s="3684"/>
      <c r="Z20" s="1465"/>
      <c r="AA20" s="1466">
        <v>1</v>
      </c>
      <c r="AB20" s="1466">
        <v>1</v>
      </c>
      <c r="AC20" s="1466">
        <v>1</v>
      </c>
    </row>
    <row r="21" spans="1:29" ht="7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84"/>
      <c r="Q21" s="1462" t="str">
        <f>B21</f>
        <v>办公集聚程度</v>
      </c>
      <c r="R21" s="1463" t="s">
        <v>8</v>
      </c>
      <c r="S21" s="1464">
        <f>F21</f>
        <v>100</v>
      </c>
      <c r="T21" s="1463" t="s">
        <v>8</v>
      </c>
      <c r="U21" s="1464">
        <f>H21</f>
        <v>100</v>
      </c>
      <c r="V21" s="1463" t="s">
        <v>8</v>
      </c>
      <c r="W21" s="1464">
        <f>J21</f>
        <v>100</v>
      </c>
      <c r="X21" s="1457"/>
      <c r="Y21" s="3684"/>
      <c r="Z21" s="1465" t="str">
        <f>Q21</f>
        <v>办公集聚程度</v>
      </c>
      <c r="AA21" s="1466">
        <f t="shared" si="3"/>
        <v>1</v>
      </c>
      <c r="AB21" s="1466">
        <f t="shared" si="4"/>
        <v>1</v>
      </c>
      <c r="AC21" s="1466">
        <f t="shared" si="5"/>
        <v>1</v>
      </c>
    </row>
    <row r="22" spans="1:29" ht="20">
      <c r="A22" s="508"/>
      <c r="B22" s="542"/>
      <c r="C22" s="530"/>
      <c r="D22" s="533"/>
      <c r="E22" s="534"/>
      <c r="F22" s="531"/>
      <c r="G22" s="532"/>
      <c r="H22" s="531"/>
      <c r="I22" s="534"/>
      <c r="J22" s="531"/>
      <c r="K22" s="507"/>
      <c r="L22" s="1976"/>
      <c r="M22" s="1966"/>
      <c r="N22" s="1966"/>
      <c r="O22" s="1975"/>
      <c r="P22" s="3684"/>
      <c r="Q22" s="1462"/>
      <c r="R22" s="1463"/>
      <c r="S22" s="1464"/>
      <c r="T22" s="1463"/>
      <c r="U22" s="1464"/>
      <c r="V22" s="1463"/>
      <c r="W22" s="1464"/>
      <c r="X22" s="1457"/>
      <c r="Y22" s="3684"/>
      <c r="Z22" s="1465"/>
      <c r="AA22" s="1466">
        <v>1</v>
      </c>
      <c r="AB22" s="1466">
        <v>1</v>
      </c>
      <c r="AC22" s="1466">
        <v>1</v>
      </c>
    </row>
    <row r="23" spans="1:29" ht="90">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84"/>
      <c r="Q23" s="1462" t="str">
        <f>B23</f>
        <v>交通便捷度</v>
      </c>
      <c r="R23" s="1463" t="s">
        <v>8</v>
      </c>
      <c r="S23" s="1464">
        <f>F23</f>
        <v>100</v>
      </c>
      <c r="T23" s="1463" t="s">
        <v>8</v>
      </c>
      <c r="U23" s="1464">
        <f>H23</f>
        <v>100</v>
      </c>
      <c r="V23" s="1463" t="s">
        <v>8</v>
      </c>
      <c r="W23" s="1464">
        <f>J23</f>
        <v>100</v>
      </c>
      <c r="X23" s="1457"/>
      <c r="Y23" s="3684"/>
      <c r="Z23" s="1465" t="str">
        <f>Q23</f>
        <v>交通便捷度</v>
      </c>
      <c r="AA23" s="1466">
        <f t="shared" si="3"/>
        <v>1</v>
      </c>
      <c r="AB23" s="1466">
        <f t="shared" si="4"/>
        <v>1</v>
      </c>
      <c r="AC23" s="1466">
        <f t="shared" si="5"/>
        <v>1</v>
      </c>
    </row>
    <row r="24" spans="1:29" ht="20">
      <c r="A24" s="508"/>
      <c r="B24" s="554"/>
      <c r="C24" s="530"/>
      <c r="D24" s="533"/>
      <c r="E24" s="534"/>
      <c r="F24" s="531"/>
      <c r="G24" s="532"/>
      <c r="H24" s="531"/>
      <c r="I24" s="534"/>
      <c r="J24" s="531"/>
      <c r="K24" s="507"/>
      <c r="L24" s="1976"/>
      <c r="M24" s="1966"/>
      <c r="N24" s="1966"/>
      <c r="O24" s="1975"/>
      <c r="P24" s="3684"/>
      <c r="Q24" s="1462"/>
      <c r="R24" s="1463"/>
      <c r="S24" s="1464"/>
      <c r="T24" s="1463"/>
      <c r="U24" s="1464"/>
      <c r="V24" s="1463"/>
      <c r="W24" s="1464"/>
      <c r="X24" s="1457"/>
      <c r="Y24" s="3684"/>
      <c r="Z24" s="1465"/>
      <c r="AA24" s="1466">
        <v>1</v>
      </c>
      <c r="AB24" s="1466">
        <v>1</v>
      </c>
      <c r="AC24" s="1466">
        <v>1</v>
      </c>
    </row>
    <row r="25" spans="1:29" ht="20">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84"/>
      <c r="Q25" s="1462" t="str">
        <f t="shared" ref="Q25:Q39" si="8">B25</f>
        <v>区域土地利用方向</v>
      </c>
      <c r="R25" s="1463" t="s">
        <v>8</v>
      </c>
      <c r="S25" s="1464">
        <f>F25</f>
        <v>100</v>
      </c>
      <c r="T25" s="1463" t="s">
        <v>8</v>
      </c>
      <c r="U25" s="1464">
        <f>H25</f>
        <v>100</v>
      </c>
      <c r="V25" s="1463" t="s">
        <v>8</v>
      </c>
      <c r="W25" s="1464">
        <f>J25</f>
        <v>100</v>
      </c>
      <c r="X25" s="1457"/>
      <c r="Y25" s="3684"/>
      <c r="Z25" s="1465" t="str">
        <f>Q25</f>
        <v>区域土地利用方向</v>
      </c>
      <c r="AA25" s="1466">
        <f t="shared" si="3"/>
        <v>1</v>
      </c>
      <c r="AB25" s="1466">
        <f t="shared" si="4"/>
        <v>1</v>
      </c>
      <c r="AC25" s="1466">
        <f t="shared" si="5"/>
        <v>1</v>
      </c>
    </row>
    <row r="26" spans="1:29" ht="20">
      <c r="A26" s="491"/>
      <c r="B26" s="976"/>
      <c r="C26" s="530"/>
      <c r="D26" s="533"/>
      <c r="E26" s="534"/>
      <c r="F26" s="531"/>
      <c r="G26" s="532"/>
      <c r="H26" s="531"/>
      <c r="I26" s="534"/>
      <c r="J26" s="531"/>
      <c r="K26" s="507"/>
      <c r="L26" s="1976"/>
      <c r="M26" s="1966"/>
      <c r="N26" s="1966"/>
      <c r="O26" s="1975"/>
      <c r="P26" s="3684"/>
      <c r="Q26" s="1462"/>
      <c r="R26" s="1463"/>
      <c r="S26" s="1464"/>
      <c r="T26" s="1463"/>
      <c r="U26" s="1464"/>
      <c r="V26" s="1463"/>
      <c r="W26" s="1464"/>
      <c r="X26" s="1457"/>
      <c r="Y26" s="3684"/>
      <c r="Z26" s="1465"/>
      <c r="AA26" s="1466"/>
      <c r="AB26" s="1466"/>
      <c r="AC26" s="1466"/>
    </row>
    <row r="27" spans="1:29" ht="60">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84"/>
      <c r="Q27" s="1462" t="str">
        <f t="shared" si="8"/>
        <v>自然及人文环境状况</v>
      </c>
      <c r="R27" s="1463" t="s">
        <v>8</v>
      </c>
      <c r="S27" s="1464">
        <f>F27</f>
        <v>100</v>
      </c>
      <c r="T27" s="1463" t="s">
        <v>8</v>
      </c>
      <c r="U27" s="1464">
        <f>H27</f>
        <v>100</v>
      </c>
      <c r="V27" s="1463" t="s">
        <v>8</v>
      </c>
      <c r="W27" s="1464">
        <f>J27</f>
        <v>100</v>
      </c>
      <c r="X27" s="1457"/>
      <c r="Y27" s="3684"/>
      <c r="Z27" s="1465" t="str">
        <f>Q27</f>
        <v>自然及人文环境状况</v>
      </c>
      <c r="AA27" s="1466">
        <f t="shared" si="3"/>
        <v>1</v>
      </c>
      <c r="AB27" s="1466">
        <f t="shared" si="4"/>
        <v>1</v>
      </c>
      <c r="AC27" s="1466">
        <f t="shared" si="5"/>
        <v>1</v>
      </c>
    </row>
    <row r="28" spans="1:29" ht="20">
      <c r="A28" s="491"/>
      <c r="B28" s="542"/>
      <c r="C28" s="530"/>
      <c r="D28" s="533"/>
      <c r="E28" s="552"/>
      <c r="F28" s="531"/>
      <c r="G28" s="530"/>
      <c r="H28" s="531"/>
      <c r="I28" s="552"/>
      <c r="J28" s="531"/>
      <c r="K28" s="507"/>
      <c r="L28" s="1976"/>
      <c r="M28" s="1966"/>
      <c r="N28" s="1966"/>
      <c r="O28" s="1975"/>
      <c r="P28" s="3684"/>
      <c r="Q28" s="1462"/>
      <c r="R28" s="1463"/>
      <c r="S28" s="1464"/>
      <c r="T28" s="1463"/>
      <c r="U28" s="1464"/>
      <c r="V28" s="1463"/>
      <c r="W28" s="1464"/>
      <c r="X28" s="1457"/>
      <c r="Y28" s="3684"/>
      <c r="Z28" s="1465"/>
      <c r="AA28" s="1466">
        <v>1</v>
      </c>
      <c r="AB28" s="1466">
        <v>1</v>
      </c>
      <c r="AC28" s="1466">
        <v>1</v>
      </c>
    </row>
    <row r="29" spans="1:29" s="1166" customFormat="1" ht="4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84"/>
      <c r="Q29" s="1097" t="str">
        <f t="shared" si="8"/>
        <v>公共配套设施</v>
      </c>
      <c r="R29" s="1458" t="s">
        <v>8</v>
      </c>
      <c r="S29" s="1459">
        <f>F29</f>
        <v>100</v>
      </c>
      <c r="T29" s="1458" t="s">
        <v>8</v>
      </c>
      <c r="U29" s="1459">
        <f>H29</f>
        <v>100</v>
      </c>
      <c r="V29" s="1458" t="s">
        <v>8</v>
      </c>
      <c r="W29" s="1459">
        <f>J29</f>
        <v>100</v>
      </c>
      <c r="X29" s="1460"/>
      <c r="Y29" s="3684"/>
      <c r="Z29" s="1096" t="str">
        <f>Q29</f>
        <v>公共配套设施</v>
      </c>
      <c r="AA29" s="1466">
        <f>D29/F29</f>
        <v>1</v>
      </c>
      <c r="AB29" s="1466">
        <f>D29/H29</f>
        <v>1</v>
      </c>
      <c r="AC29" s="1466">
        <f>D29/J29</f>
        <v>1</v>
      </c>
    </row>
    <row r="30" spans="1:29" s="1166" customFormat="1" ht="20">
      <c r="A30" s="553"/>
      <c r="B30" s="542"/>
      <c r="C30" s="555"/>
      <c r="D30" s="533"/>
      <c r="E30" s="552"/>
      <c r="F30" s="531"/>
      <c r="G30" s="530"/>
      <c r="H30" s="531"/>
      <c r="I30" s="552"/>
      <c r="J30" s="531"/>
      <c r="K30" s="507"/>
      <c r="L30" s="1969"/>
      <c r="M30" s="1966"/>
      <c r="N30" s="1966"/>
      <c r="O30" s="1971"/>
      <c r="P30" s="3684"/>
      <c r="Q30" s="1097"/>
      <c r="R30" s="1458"/>
      <c r="S30" s="1459"/>
      <c r="T30" s="1458"/>
      <c r="U30" s="1459"/>
      <c r="V30" s="1458"/>
      <c r="W30" s="1459"/>
      <c r="X30" s="1460"/>
      <c r="Y30" s="3684"/>
      <c r="Z30" s="1096"/>
      <c r="AA30" s="1466">
        <v>1</v>
      </c>
      <c r="AB30" s="1466">
        <v>1</v>
      </c>
      <c r="AC30" s="1466">
        <v>1</v>
      </c>
    </row>
    <row r="31" spans="1:29" s="1166" customFormat="1" ht="30">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84"/>
      <c r="Q31" s="2377" t="str">
        <f t="shared" ref="Q31" si="9">B31</f>
        <v>基础设施水平</v>
      </c>
      <c r="R31" s="1458" t="s">
        <v>8</v>
      </c>
      <c r="S31" s="1459">
        <f>F31</f>
        <v>100</v>
      </c>
      <c r="T31" s="1458" t="s">
        <v>8</v>
      </c>
      <c r="U31" s="1459">
        <f>H31</f>
        <v>100</v>
      </c>
      <c r="V31" s="1458" t="s">
        <v>8</v>
      </c>
      <c r="W31" s="1459">
        <f>J31</f>
        <v>100</v>
      </c>
      <c r="X31" s="1460"/>
      <c r="Y31" s="3684"/>
      <c r="Z31" s="2376" t="str">
        <f>Q31</f>
        <v>基础设施水平</v>
      </c>
      <c r="AA31" s="1466">
        <f>D31/F31</f>
        <v>1</v>
      </c>
      <c r="AB31" s="1466">
        <f>D31/H31</f>
        <v>1</v>
      </c>
      <c r="AC31" s="1466">
        <f>D31/J31</f>
        <v>1</v>
      </c>
    </row>
    <row r="32" spans="1:29" s="1166" customFormat="1" ht="20">
      <c r="A32" s="553"/>
      <c r="B32" s="542"/>
      <c r="C32" s="555"/>
      <c r="D32" s="533"/>
      <c r="E32" s="2385"/>
      <c r="F32" s="531"/>
      <c r="G32" s="555"/>
      <c r="H32" s="531"/>
      <c r="I32" s="555"/>
      <c r="J32" s="531"/>
      <c r="K32" s="507"/>
      <c r="L32" s="1969"/>
      <c r="M32" s="1966"/>
      <c r="N32" s="1966"/>
      <c r="O32" s="1971"/>
      <c r="P32" s="3684"/>
      <c r="Q32" s="2377"/>
      <c r="R32" s="1458"/>
      <c r="S32" s="1459"/>
      <c r="T32" s="1458"/>
      <c r="U32" s="1459"/>
      <c r="V32" s="1458"/>
      <c r="W32" s="1459"/>
      <c r="X32" s="1460"/>
      <c r="Y32" s="3684"/>
      <c r="Z32" s="2376"/>
      <c r="AA32" s="1466">
        <v>1</v>
      </c>
      <c r="AB32" s="1466">
        <v>1</v>
      </c>
      <c r="AC32" s="1466">
        <v>1</v>
      </c>
    </row>
    <row r="33" spans="1:29" ht="20">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84"/>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84"/>
      <c r="Z33" s="1465" t="str">
        <f t="shared" ref="Z33:Z47" si="13">Q33</f>
        <v>临街状况</v>
      </c>
      <c r="AA33" s="1466">
        <f t="shared" si="3"/>
        <v>1</v>
      </c>
      <c r="AB33" s="1466">
        <f t="shared" si="4"/>
        <v>1</v>
      </c>
      <c r="AC33" s="1466">
        <f t="shared" si="5"/>
        <v>1</v>
      </c>
    </row>
    <row r="34" spans="1:29" ht="30">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84"/>
      <c r="Q34" s="1462" t="str">
        <f t="shared" si="8"/>
        <v>毗邻道路的类型与等级</v>
      </c>
      <c r="R34" s="1463" t="s">
        <v>8</v>
      </c>
      <c r="S34" s="1464">
        <f t="shared" si="10"/>
        <v>100</v>
      </c>
      <c r="T34" s="1463" t="s">
        <v>8</v>
      </c>
      <c r="U34" s="1464">
        <f t="shared" si="11"/>
        <v>100</v>
      </c>
      <c r="V34" s="1463" t="s">
        <v>8</v>
      </c>
      <c r="W34" s="1464">
        <f t="shared" si="12"/>
        <v>100</v>
      </c>
      <c r="X34" s="1457"/>
      <c r="Y34" s="3684"/>
      <c r="Z34" s="1465" t="str">
        <f t="shared" si="13"/>
        <v>毗邻道路的类型与等级</v>
      </c>
      <c r="AA34" s="1466">
        <f t="shared" si="3"/>
        <v>1</v>
      </c>
      <c r="AB34" s="1466">
        <f t="shared" si="4"/>
        <v>1</v>
      </c>
      <c r="AC34" s="1466">
        <f t="shared" si="5"/>
        <v>1</v>
      </c>
    </row>
    <row r="35" spans="1:29" ht="20">
      <c r="A35" s="508"/>
      <c r="B35" s="542"/>
      <c r="C35" s="530"/>
      <c r="D35" s="533"/>
      <c r="E35" s="552"/>
      <c r="F35" s="531"/>
      <c r="G35" s="530"/>
      <c r="H35" s="531"/>
      <c r="I35" s="552"/>
      <c r="J35" s="531"/>
      <c r="K35" s="557"/>
      <c r="L35" s="1976"/>
      <c r="M35" s="1966"/>
      <c r="N35" s="1966"/>
      <c r="O35" s="1975"/>
      <c r="P35" s="3684"/>
      <c r="Q35" s="1462"/>
      <c r="R35" s="1463"/>
      <c r="S35" s="1464"/>
      <c r="T35" s="1463"/>
      <c r="U35" s="1464"/>
      <c r="V35" s="1463"/>
      <c r="W35" s="1464"/>
      <c r="X35" s="1457"/>
      <c r="Y35" s="3684"/>
      <c r="Z35" s="1465"/>
      <c r="AA35" s="1466">
        <v>1</v>
      </c>
      <c r="AB35" s="1466">
        <v>1</v>
      </c>
      <c r="AC35" s="1466">
        <v>1</v>
      </c>
    </row>
    <row r="36" spans="1:29" ht="20">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84"/>
      <c r="Q36" s="1462" t="str">
        <f t="shared" si="8"/>
        <v>土地级别</v>
      </c>
      <c r="R36" s="1463" t="s">
        <v>8</v>
      </c>
      <c r="S36" s="1464">
        <f t="shared" si="10"/>
        <v>100</v>
      </c>
      <c r="T36" s="1463" t="s">
        <v>8</v>
      </c>
      <c r="U36" s="1464">
        <f t="shared" si="11"/>
        <v>100</v>
      </c>
      <c r="V36" s="1463" t="s">
        <v>8</v>
      </c>
      <c r="W36" s="1464">
        <f t="shared" si="12"/>
        <v>100</v>
      </c>
      <c r="X36" s="1457"/>
      <c r="Y36" s="3684"/>
      <c r="Z36" s="1465" t="str">
        <f t="shared" si="13"/>
        <v>土地级别</v>
      </c>
      <c r="AA36" s="1466">
        <f t="shared" si="3"/>
        <v>1</v>
      </c>
      <c r="AB36" s="1466">
        <f t="shared" si="4"/>
        <v>1</v>
      </c>
      <c r="AC36" s="1466">
        <f t="shared" si="5"/>
        <v>1</v>
      </c>
    </row>
    <row r="37" spans="1:29" ht="20">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84"/>
      <c r="Q37" s="1462">
        <f t="shared" si="8"/>
        <v>111</v>
      </c>
      <c r="R37" s="1463" t="s">
        <v>8</v>
      </c>
      <c r="S37" s="1464">
        <f t="shared" si="10"/>
        <v>100</v>
      </c>
      <c r="T37" s="1463" t="s">
        <v>8</v>
      </c>
      <c r="U37" s="1464">
        <f t="shared" si="11"/>
        <v>100</v>
      </c>
      <c r="V37" s="1463" t="s">
        <v>8</v>
      </c>
      <c r="W37" s="1464">
        <f t="shared" si="12"/>
        <v>100</v>
      </c>
      <c r="X37" s="1457"/>
      <c r="Y37" s="3684"/>
      <c r="Z37" s="1465">
        <f t="shared" si="13"/>
        <v>111</v>
      </c>
      <c r="AA37" s="1466">
        <f t="shared" si="3"/>
        <v>1</v>
      </c>
      <c r="AB37" s="1466">
        <f t="shared" si="4"/>
        <v>1</v>
      </c>
      <c r="AC37" s="1466">
        <f t="shared" si="5"/>
        <v>1</v>
      </c>
    </row>
    <row r="38" spans="1:29" ht="20">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85" t="s">
        <v>528</v>
      </c>
      <c r="Q38" s="1462">
        <f t="shared" si="8"/>
        <v>111</v>
      </c>
      <c r="R38" s="1463" t="s">
        <v>8</v>
      </c>
      <c r="S38" s="1464">
        <f t="shared" si="10"/>
        <v>100</v>
      </c>
      <c r="T38" s="1463" t="s">
        <v>8</v>
      </c>
      <c r="U38" s="1464">
        <f t="shared" si="11"/>
        <v>100</v>
      </c>
      <c r="V38" s="1463" t="s">
        <v>8</v>
      </c>
      <c r="W38" s="1464">
        <f t="shared" si="12"/>
        <v>100</v>
      </c>
      <c r="X38" s="1457"/>
      <c r="Y38" s="3686"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86"/>
      <c r="Q39" s="1462">
        <f t="shared" si="8"/>
        <v>111</v>
      </c>
      <c r="R39" s="1467" t="s">
        <v>8</v>
      </c>
      <c r="S39" s="1468">
        <f t="shared" si="10"/>
        <v>100</v>
      </c>
      <c r="T39" s="1467" t="s">
        <v>8</v>
      </c>
      <c r="U39" s="1468">
        <f t="shared" si="11"/>
        <v>100</v>
      </c>
      <c r="V39" s="1467" t="s">
        <v>8</v>
      </c>
      <c r="W39" s="1468">
        <f t="shared" si="12"/>
        <v>100</v>
      </c>
      <c r="X39" s="1469"/>
      <c r="Y39" s="3686"/>
      <c r="Z39" s="1470">
        <f t="shared" si="13"/>
        <v>111</v>
      </c>
      <c r="AA39" s="1466">
        <f t="shared" si="3"/>
        <v>1</v>
      </c>
      <c r="AB39" s="1466">
        <f t="shared" si="4"/>
        <v>1</v>
      </c>
      <c r="AC39" s="1466">
        <f t="shared" si="5"/>
        <v>1</v>
      </c>
    </row>
    <row r="40" spans="1:29" ht="20">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86"/>
      <c r="Q40" s="1462" t="str">
        <f>B40</f>
        <v>宗地面积</v>
      </c>
      <c r="R40" s="1463" t="s">
        <v>8</v>
      </c>
      <c r="S40" s="1464" t="e">
        <f t="shared" si="10"/>
        <v>#N/A</v>
      </c>
      <c r="T40" s="1463" t="s">
        <v>8</v>
      </c>
      <c r="U40" s="1464" t="e">
        <f t="shared" si="11"/>
        <v>#N/A</v>
      </c>
      <c r="V40" s="1463" t="s">
        <v>8</v>
      </c>
      <c r="W40" s="1464" t="e">
        <f t="shared" si="12"/>
        <v>#N/A</v>
      </c>
      <c r="X40" s="1457"/>
      <c r="Y40" s="3686"/>
      <c r="Z40" s="1465" t="str">
        <f t="shared" si="13"/>
        <v>宗地面积</v>
      </c>
      <c r="AA40" s="1466" t="e">
        <f t="shared" si="3"/>
        <v>#N/A</v>
      </c>
      <c r="AB40" s="1466" t="e">
        <f t="shared" si="4"/>
        <v>#N/A</v>
      </c>
      <c r="AC40" s="1466" t="e">
        <f t="shared" si="5"/>
        <v>#N/A</v>
      </c>
    </row>
    <row r="41" spans="1:29" ht="20">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86"/>
      <c r="Q41" s="1462" t="str">
        <f t="shared" ref="Q41:Q47" si="14">B41</f>
        <v>宗地形状</v>
      </c>
      <c r="R41" s="1463" t="s">
        <v>8</v>
      </c>
      <c r="S41" s="1464">
        <f t="shared" si="10"/>
        <v>100</v>
      </c>
      <c r="T41" s="1463" t="s">
        <v>8</v>
      </c>
      <c r="U41" s="1464">
        <f t="shared" si="11"/>
        <v>100</v>
      </c>
      <c r="V41" s="1463" t="s">
        <v>8</v>
      </c>
      <c r="W41" s="1464">
        <f t="shared" si="12"/>
        <v>100</v>
      </c>
      <c r="X41" s="1457"/>
      <c r="Y41" s="3686"/>
      <c r="Z41" s="1465" t="str">
        <f t="shared" si="13"/>
        <v>宗地形状</v>
      </c>
      <c r="AA41" s="1466">
        <f t="shared" si="3"/>
        <v>1</v>
      </c>
      <c r="AB41" s="1466">
        <f t="shared" si="4"/>
        <v>1</v>
      </c>
      <c r="AC41" s="1466">
        <f t="shared" si="5"/>
        <v>1</v>
      </c>
    </row>
    <row r="42" spans="1:29" ht="20">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86"/>
      <c r="Q42" s="1462" t="str">
        <f t="shared" si="14"/>
        <v>临街宽度及深度</v>
      </c>
      <c r="R42" s="1463" t="s">
        <v>8</v>
      </c>
      <c r="S42" s="1464">
        <f t="shared" si="10"/>
        <v>100</v>
      </c>
      <c r="T42" s="1463" t="s">
        <v>8</v>
      </c>
      <c r="U42" s="1464">
        <f t="shared" si="11"/>
        <v>100</v>
      </c>
      <c r="V42" s="1463" t="s">
        <v>8</v>
      </c>
      <c r="W42" s="1464">
        <f t="shared" si="12"/>
        <v>100</v>
      </c>
      <c r="X42" s="1457"/>
      <c r="Y42" s="3686"/>
      <c r="Z42" s="1465" t="str">
        <f t="shared" si="13"/>
        <v>临街宽度及深度</v>
      </c>
      <c r="AA42" s="1466">
        <f t="shared" si="3"/>
        <v>1</v>
      </c>
      <c r="AB42" s="1466">
        <f t="shared" si="4"/>
        <v>1</v>
      </c>
      <c r="AC42" s="1466">
        <f t="shared" si="5"/>
        <v>1</v>
      </c>
    </row>
    <row r="43" spans="1:29" s="1166" customFormat="1" ht="20">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86"/>
      <c r="Q43" s="1462" t="str">
        <f t="shared" si="14"/>
        <v>宗地开发程度</v>
      </c>
      <c r="R43" s="1458" t="s">
        <v>8</v>
      </c>
      <c r="S43" s="1459">
        <f t="shared" si="10"/>
        <v>100</v>
      </c>
      <c r="T43" s="1458" t="s">
        <v>8</v>
      </c>
      <c r="U43" s="1459">
        <f t="shared" si="11"/>
        <v>100</v>
      </c>
      <c r="V43" s="1458" t="s">
        <v>8</v>
      </c>
      <c r="W43" s="1459">
        <f t="shared" si="12"/>
        <v>100</v>
      </c>
      <c r="X43" s="1460"/>
      <c r="Y43" s="3686"/>
      <c r="Z43" s="1096" t="str">
        <f t="shared" si="13"/>
        <v>宗地开发程度</v>
      </c>
      <c r="AA43" s="1461">
        <f t="shared" si="3"/>
        <v>1</v>
      </c>
      <c r="AB43" s="1461">
        <f t="shared" si="4"/>
        <v>1</v>
      </c>
      <c r="AC43" s="1461">
        <f t="shared" si="5"/>
        <v>1</v>
      </c>
    </row>
    <row r="44" spans="1:29" ht="20">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86" t="s">
        <v>528</v>
      </c>
      <c r="Q44" s="1462" t="str">
        <f t="shared" si="14"/>
        <v>工程地质条件</v>
      </c>
      <c r="R44" s="1463" t="s">
        <v>8</v>
      </c>
      <c r="S44" s="1464">
        <f t="shared" si="10"/>
        <v>100</v>
      </c>
      <c r="T44" s="1463" t="s">
        <v>8</v>
      </c>
      <c r="U44" s="1464">
        <f t="shared" si="11"/>
        <v>100</v>
      </c>
      <c r="V44" s="1463" t="s">
        <v>8</v>
      </c>
      <c r="W44" s="1464">
        <f t="shared" si="12"/>
        <v>100</v>
      </c>
      <c r="X44" s="1457"/>
      <c r="Y44" s="3686" t="s">
        <v>528</v>
      </c>
      <c r="Z44" s="1465" t="str">
        <f t="shared" si="13"/>
        <v>工程地质条件</v>
      </c>
      <c r="AA44" s="1466">
        <f t="shared" si="3"/>
        <v>1</v>
      </c>
      <c r="AB44" s="1466">
        <f t="shared" si="4"/>
        <v>1</v>
      </c>
      <c r="AC44" s="1466">
        <f t="shared" si="5"/>
        <v>1</v>
      </c>
    </row>
    <row r="45" spans="1:29" ht="20">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86"/>
      <c r="Q45" s="1462">
        <f t="shared" si="14"/>
        <v>111</v>
      </c>
      <c r="R45" s="1463" t="s">
        <v>8</v>
      </c>
      <c r="S45" s="1464">
        <f t="shared" si="10"/>
        <v>100</v>
      </c>
      <c r="T45" s="1463" t="s">
        <v>8</v>
      </c>
      <c r="U45" s="1464">
        <f t="shared" si="11"/>
        <v>100</v>
      </c>
      <c r="V45" s="1463" t="s">
        <v>8</v>
      </c>
      <c r="W45" s="1464">
        <f t="shared" si="12"/>
        <v>100</v>
      </c>
      <c r="X45" s="1457"/>
      <c r="Y45" s="3686"/>
      <c r="Z45" s="1465">
        <f t="shared" si="13"/>
        <v>111</v>
      </c>
      <c r="AA45" s="1466">
        <f t="shared" si="3"/>
        <v>1</v>
      </c>
      <c r="AB45" s="1466">
        <f t="shared" si="4"/>
        <v>1</v>
      </c>
      <c r="AC45" s="1466">
        <f t="shared" si="5"/>
        <v>1</v>
      </c>
    </row>
    <row r="46" spans="1:29" ht="20">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86"/>
      <c r="Q46" s="1462">
        <f t="shared" si="14"/>
        <v>111</v>
      </c>
      <c r="R46" s="1463" t="s">
        <v>8</v>
      </c>
      <c r="S46" s="1464">
        <f t="shared" si="10"/>
        <v>100</v>
      </c>
      <c r="T46" s="1463" t="s">
        <v>8</v>
      </c>
      <c r="U46" s="1464">
        <f t="shared" si="11"/>
        <v>100</v>
      </c>
      <c r="V46" s="1463" t="s">
        <v>8</v>
      </c>
      <c r="W46" s="1464">
        <f t="shared" si="12"/>
        <v>100</v>
      </c>
      <c r="X46" s="1457"/>
      <c r="Y46" s="3686"/>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86"/>
      <c r="Q47" s="1462">
        <f t="shared" si="14"/>
        <v>111</v>
      </c>
      <c r="R47" s="1467" t="s">
        <v>8</v>
      </c>
      <c r="S47" s="1468">
        <f t="shared" si="10"/>
        <v>100</v>
      </c>
      <c r="T47" s="1467" t="s">
        <v>8</v>
      </c>
      <c r="U47" s="1468">
        <f t="shared" si="11"/>
        <v>100</v>
      </c>
      <c r="V47" s="1467" t="s">
        <v>8</v>
      </c>
      <c r="W47" s="1468">
        <f t="shared" si="12"/>
        <v>100</v>
      </c>
      <c r="X47" s="1469"/>
      <c r="Y47" s="3686"/>
      <c r="Z47" s="1470">
        <f t="shared" si="13"/>
        <v>111</v>
      </c>
      <c r="AA47" s="1466">
        <f t="shared" si="3"/>
        <v>1</v>
      </c>
      <c r="AB47" s="1466">
        <f t="shared" si="4"/>
        <v>1</v>
      </c>
      <c r="AC47" s="1466">
        <f t="shared" si="5"/>
        <v>1</v>
      </c>
    </row>
    <row r="48" spans="1:29" ht="20">
      <c r="A48" s="583" t="s">
        <v>534</v>
      </c>
      <c r="B48" s="584" t="s">
        <v>2690</v>
      </c>
      <c r="C48" s="585" t="s">
        <v>1</v>
      </c>
      <c r="D48" s="586"/>
      <c r="E48" s="587"/>
      <c r="F48" s="588"/>
      <c r="G48" s="589"/>
      <c r="H48" s="590"/>
      <c r="I48" s="587"/>
      <c r="J48" s="590"/>
      <c r="K48" s="1249"/>
      <c r="L48" s="1978"/>
      <c r="M48" s="1966"/>
      <c r="N48" s="1966"/>
      <c r="O48" s="1979"/>
      <c r="P48" s="3650" t="str">
        <f>A48</f>
        <v>成交单价</v>
      </c>
      <c r="Q48" s="3650"/>
      <c r="R48" s="3651">
        <f>E48</f>
        <v>0</v>
      </c>
      <c r="S48" s="3651"/>
      <c r="T48" s="3651">
        <f>G48</f>
        <v>0</v>
      </c>
      <c r="U48" s="3651"/>
      <c r="V48" s="3651">
        <f>I48</f>
        <v>0</v>
      </c>
      <c r="W48" s="3651"/>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50" t="str">
        <f>A49</f>
        <v>比较价格（元/平方米）</v>
      </c>
      <c r="Q49" s="3650"/>
      <c r="R49" s="3652" t="e">
        <f>ROUND(PRODUCT(R48,AA9:AA47),0)</f>
        <v>#DIV/0!</v>
      </c>
      <c r="S49" s="3652"/>
      <c r="T49" s="3652" t="e">
        <f>ROUND(PRODUCT(T48,AB9:AB47),0)</f>
        <v>#DIV/0!</v>
      </c>
      <c r="U49" s="3652"/>
      <c r="V49" s="3652" t="e">
        <f>ROUND(PRODUCT(V48,AC9:AC47),0)</f>
        <v>#DIV/0!</v>
      </c>
      <c r="W49" s="3652"/>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87" t="str">
        <f>A50</f>
        <v>估价对象XX用房的比较价格（楼面单价，元/平方米）</v>
      </c>
      <c r="Q50" s="3688"/>
      <c r="R50" s="3649" t="e">
        <f>ROUND(IF(D49="简单平均",AVERAGE(R49:W49),R49*F49+T49*H49+V49*J49),0)</f>
        <v>#DIV/0!</v>
      </c>
      <c r="S50" s="3649"/>
      <c r="T50" s="3649"/>
      <c r="U50" s="3649"/>
      <c r="V50" s="3649"/>
      <c r="W50" s="3649"/>
      <c r="X50" s="1452"/>
      <c r="Y50" s="1452"/>
      <c r="Z50" s="1452"/>
      <c r="AA50" s="1452"/>
      <c r="AB50" s="1452"/>
      <c r="AC50" s="1452"/>
    </row>
    <row r="51" spans="1:29" ht="20">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76" t="s">
        <v>2065</v>
      </c>
      <c r="H57" s="3677"/>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c r="A58" s="607" t="s">
        <v>542</v>
      </c>
      <c r="B58" s="608" t="e">
        <f>C50</f>
        <v>#DIV/0!</v>
      </c>
      <c r="C58" s="609">
        <v>1</v>
      </c>
      <c r="D58" s="2060">
        <v>1</v>
      </c>
      <c r="E58" s="609">
        <f>'数据-汇总表'!E8+'数据-汇总表'!E9</f>
        <v>83394.849999999991</v>
      </c>
      <c r="F58" s="610" t="e">
        <f t="shared" ref="F58:F66" si="15">ROUND(B58*E58/10000,0)</f>
        <v>#DIV/0!</v>
      </c>
      <c r="G58" s="3678"/>
      <c r="H58" s="3679"/>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c r="A59" s="611" t="s">
        <v>543</v>
      </c>
      <c r="B59" s="612" t="e">
        <f>ROUND($C$50*C59*D59,0)</f>
        <v>#DIV/0!</v>
      </c>
      <c r="C59" s="372">
        <f t="shared" ref="C59:C66" si="16">IF($C$57="北京市系数",I59,J59)</f>
        <v>0.6</v>
      </c>
      <c r="D59" s="2061">
        <v>0.25</v>
      </c>
      <c r="E59" s="613">
        <v>0</v>
      </c>
      <c r="F59" s="610" t="e">
        <f t="shared" si="15"/>
        <v>#DIV/0!</v>
      </c>
      <c r="G59" s="3458" t="s">
        <v>2066</v>
      </c>
      <c r="H59" s="1816" t="str">
        <f>项目基本情况!B43</f>
        <v>六级</v>
      </c>
      <c r="I59" s="1450">
        <f>SUMIF(修正!$A$57:$A$68,H59,修正!B57:B68)</f>
        <v>0.6</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c r="A60" s="611" t="s">
        <v>544</v>
      </c>
      <c r="B60" s="612" t="e">
        <f t="shared" ref="B60:B66" si="17">ROUND($C$50*C60*D60,0)</f>
        <v>#DIV/0!</v>
      </c>
      <c r="C60" s="372">
        <f t="shared" si="16"/>
        <v>0.3</v>
      </c>
      <c r="D60" s="2061">
        <v>0.25</v>
      </c>
      <c r="E60" s="613">
        <v>0</v>
      </c>
      <c r="F60" s="610" t="e">
        <f t="shared" si="15"/>
        <v>#DIV/0!</v>
      </c>
      <c r="G60" s="3459"/>
      <c r="H60" s="1816" t="str">
        <f>项目基本情况!B43</f>
        <v>六级</v>
      </c>
      <c r="I60" s="1450">
        <f>SUMIF(修正!$A$57:$A$68,H60,修正!C57:C68)</f>
        <v>0.3</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c r="A61" s="611" t="s">
        <v>545</v>
      </c>
      <c r="B61" s="612" t="e">
        <f t="shared" si="17"/>
        <v>#DIV/0!</v>
      </c>
      <c r="C61" s="372">
        <f t="shared" si="16"/>
        <v>0.25</v>
      </c>
      <c r="D61" s="2061">
        <v>0.25</v>
      </c>
      <c r="E61" s="613">
        <v>0</v>
      </c>
      <c r="F61" s="610" t="e">
        <f t="shared" si="15"/>
        <v>#DIV/0!</v>
      </c>
      <c r="G61" s="3459"/>
      <c r="H61" s="1816" t="str">
        <f>项目基本情况!B43</f>
        <v>六级</v>
      </c>
      <c r="I61" s="1450">
        <f>SUMIF(修正!$A$57:$A$68,H61,修正!D57:D68)</f>
        <v>0.25</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c r="A65" s="611" t="s">
        <v>548</v>
      </c>
      <c r="B65" s="612" t="e">
        <f t="shared" si="17"/>
        <v>#DIV/0!</v>
      </c>
      <c r="C65" s="372">
        <f t="shared" si="16"/>
        <v>0.15</v>
      </c>
      <c r="D65" s="2061">
        <v>0.25</v>
      </c>
      <c r="E65" s="615">
        <f>'数据-汇总表'!E14</f>
        <v>0</v>
      </c>
      <c r="F65" s="610" t="e">
        <f t="shared" si="15"/>
        <v>#DIV/0!</v>
      </c>
      <c r="G65" s="1813" t="s">
        <v>2066</v>
      </c>
      <c r="H65" s="1816" t="str">
        <f>项目基本情况!B43</f>
        <v>六级</v>
      </c>
      <c r="I65" s="1450">
        <f>SUMIF(修正!$A$57:$A$68,H65,修正!G57:G68)</f>
        <v>0.15</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5" thickBot="1">
      <c r="A67" s="616" t="s">
        <v>550</v>
      </c>
      <c r="B67" s="617" t="s">
        <v>17</v>
      </c>
      <c r="C67" s="617" t="s">
        <v>18</v>
      </c>
      <c r="D67" s="617" t="s">
        <v>2077</v>
      </c>
      <c r="E67" s="617">
        <f>IF(B48="楼面地价",SUM(E58:E66),'数据-汇总表'!D3)</f>
        <v>52670.3</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2022-9-1</v>
      </c>
      <c r="D69" s="2465">
        <f>EDATE(C69,-3)</f>
        <v>44713</v>
      </c>
      <c r="E69" s="2465">
        <f t="shared" ref="E69:N69" si="18">EDATE(D69,-3)</f>
        <v>44621</v>
      </c>
      <c r="F69" s="2465">
        <f t="shared" si="18"/>
        <v>44531</v>
      </c>
      <c r="G69" s="2465">
        <f t="shared" si="18"/>
        <v>44440</v>
      </c>
      <c r="H69" s="2465">
        <f t="shared" si="18"/>
        <v>44348</v>
      </c>
      <c r="I69" s="2465">
        <f t="shared" si="18"/>
        <v>44256</v>
      </c>
      <c r="J69" s="2465">
        <f t="shared" si="18"/>
        <v>44166</v>
      </c>
      <c r="K69" s="2465">
        <f t="shared" si="18"/>
        <v>44075</v>
      </c>
      <c r="L69" s="2465">
        <f t="shared" si="18"/>
        <v>43983</v>
      </c>
      <c r="M69" s="2465">
        <f t="shared" si="18"/>
        <v>43891</v>
      </c>
      <c r="N69" s="2465">
        <f t="shared" si="18"/>
        <v>43800</v>
      </c>
      <c r="O69" s="1979"/>
      <c r="P69" s="1979"/>
      <c r="Q69" s="1979"/>
      <c r="R69" s="1979"/>
      <c r="S69" s="1979"/>
      <c r="T69" s="1979"/>
      <c r="U69" s="1979"/>
      <c r="V69" s="1979"/>
      <c r="W69" s="1979"/>
      <c r="X69" s="1979"/>
      <c r="Y69" s="1979"/>
      <c r="Z69" s="1979"/>
      <c r="AA69" s="1979"/>
      <c r="AB69" s="1979"/>
      <c r="AC69" s="1979"/>
    </row>
    <row r="70" spans="1:29" ht="21"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2022-3</v>
      </c>
      <c r="D71" s="2467" t="str">
        <f>YEAR(D69)&amp;"-"&amp;ROUNDUP(MONTH(D69)/3,0)</f>
        <v>2022-2</v>
      </c>
      <c r="E71" s="2467" t="str">
        <f t="shared" ref="E71:N71" si="19">YEAR(E69)&amp;"-"&amp;ROUNDUP(MONTH(E69)/3,0)</f>
        <v>2022-1</v>
      </c>
      <c r="F71" s="2467" t="str">
        <f t="shared" si="19"/>
        <v>2021-4</v>
      </c>
      <c r="G71" s="2467" t="str">
        <f t="shared" si="19"/>
        <v>2021-3</v>
      </c>
      <c r="H71" s="2467" t="str">
        <f t="shared" si="19"/>
        <v>2021-2</v>
      </c>
      <c r="I71" s="2467" t="str">
        <f t="shared" si="19"/>
        <v>2021-1</v>
      </c>
      <c r="J71" s="2467" t="str">
        <f t="shared" si="19"/>
        <v>2020-4</v>
      </c>
      <c r="K71" s="2467" t="str">
        <f t="shared" si="19"/>
        <v>2020-3</v>
      </c>
      <c r="L71" s="2467" t="str">
        <f t="shared" si="19"/>
        <v>2020-2</v>
      </c>
      <c r="M71" s="2467" t="str">
        <f t="shared" si="19"/>
        <v>2020-1</v>
      </c>
      <c r="N71" s="2467" t="str">
        <f t="shared" si="19"/>
        <v>2019-4</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北京市平均增长率1.57%</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ht="15">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31"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6"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ht="15">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6"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6"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6"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16"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31"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6"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6"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6"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31"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15">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6"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6"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6"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6"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A62" sqref="A62:XFD62"/>
    </sheetView>
  </sheetViews>
  <sheetFormatPr baseColWidth="10" defaultColWidth="9" defaultRowHeight="14"/>
  <cols>
    <col min="1" max="1" width="13.3320312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56" t="s">
        <v>500</v>
      </c>
      <c r="D6" s="3657"/>
      <c r="E6" s="3691" t="s">
        <v>501</v>
      </c>
      <c r="F6" s="3692"/>
      <c r="G6" s="3656" t="s">
        <v>502</v>
      </c>
      <c r="H6" s="3657"/>
      <c r="I6" s="3656" t="s">
        <v>503</v>
      </c>
      <c r="J6" s="3657"/>
      <c r="K6" s="490" t="s">
        <v>504</v>
      </c>
      <c r="L6" s="1967"/>
      <c r="M6" s="1968"/>
      <c r="N6" s="1968"/>
      <c r="O6" s="1968"/>
      <c r="P6" s="3658" t="s">
        <v>505</v>
      </c>
      <c r="Q6" s="3659"/>
      <c r="R6" s="3664" t="s">
        <v>501</v>
      </c>
      <c r="S6" s="3665"/>
      <c r="T6" s="3664" t="s">
        <v>502</v>
      </c>
      <c r="U6" s="3665"/>
      <c r="V6" s="3651" t="s">
        <v>503</v>
      </c>
      <c r="W6" s="3651"/>
      <c r="X6" s="1457"/>
      <c r="Y6" s="3664" t="s">
        <v>505</v>
      </c>
      <c r="Z6" s="3665"/>
      <c r="AA6" s="3653" t="s">
        <v>501</v>
      </c>
      <c r="AB6" s="3654" t="s">
        <v>502</v>
      </c>
      <c r="AC6" s="3653" t="s">
        <v>503</v>
      </c>
    </row>
    <row r="7" spans="1:29">
      <c r="A7" s="491"/>
      <c r="B7" s="492"/>
      <c r="C7" s="3672" t="s">
        <v>2685</v>
      </c>
      <c r="D7" s="3673"/>
      <c r="E7" s="3693" t="s">
        <v>2686</v>
      </c>
      <c r="F7" s="3694"/>
      <c r="G7" s="3672" t="s">
        <v>2687</v>
      </c>
      <c r="H7" s="3673"/>
      <c r="I7" s="3672" t="s">
        <v>2688</v>
      </c>
      <c r="J7" s="3673"/>
      <c r="K7" s="490"/>
      <c r="L7" s="1967"/>
      <c r="M7" s="1968"/>
      <c r="N7" s="1968"/>
      <c r="O7" s="1968"/>
      <c r="P7" s="3660"/>
      <c r="Q7" s="3661"/>
      <c r="R7" s="3666"/>
      <c r="S7" s="3667"/>
      <c r="T7" s="3666"/>
      <c r="U7" s="3667"/>
      <c r="V7" s="3651"/>
      <c r="W7" s="3651"/>
      <c r="X7" s="1457"/>
      <c r="Y7" s="3666"/>
      <c r="Z7" s="3667"/>
      <c r="AA7" s="3654"/>
      <c r="AB7" s="3654"/>
      <c r="AC7" s="3654"/>
    </row>
    <row r="8" spans="1:29" ht="16" thickBot="1">
      <c r="A8" s="493"/>
      <c r="B8" s="494"/>
      <c r="C8" s="3670" t="s">
        <v>2689</v>
      </c>
      <c r="D8" s="3671"/>
      <c r="E8" s="3689" t="s">
        <v>2689</v>
      </c>
      <c r="F8" s="3690"/>
      <c r="G8" s="3670" t="s">
        <v>2689</v>
      </c>
      <c r="H8" s="3671"/>
      <c r="I8" s="3670" t="s">
        <v>2689</v>
      </c>
      <c r="J8" s="3671"/>
      <c r="K8" s="490" t="s">
        <v>506</v>
      </c>
      <c r="L8" s="1967"/>
      <c r="M8" s="1968"/>
      <c r="N8" s="1968"/>
      <c r="O8" s="1968"/>
      <c r="P8" s="3662"/>
      <c r="Q8" s="3663"/>
      <c r="R8" s="3666"/>
      <c r="S8" s="3667"/>
      <c r="T8" s="3668"/>
      <c r="U8" s="3669"/>
      <c r="V8" s="3651"/>
      <c r="W8" s="3651"/>
      <c r="X8" s="1457"/>
      <c r="Y8" s="3668"/>
      <c r="Z8" s="3669"/>
      <c r="AA8" s="3655"/>
      <c r="AB8" s="3655"/>
      <c r="AC8" s="3655"/>
    </row>
    <row r="9" spans="1:29" s="1166" customFormat="1" ht="16" thickBot="1">
      <c r="A9" s="2578"/>
      <c r="B9" s="2585" t="s">
        <v>507</v>
      </c>
      <c r="C9" s="495">
        <f>'数据-取费表'!B2</f>
        <v>44826</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80" t="s">
        <v>508</v>
      </c>
      <c r="Q9" s="3682"/>
      <c r="R9" s="1458" t="s">
        <v>8</v>
      </c>
      <c r="S9" s="1459">
        <f t="shared" ref="S9:S17" si="0">F9</f>
        <v>0</v>
      </c>
      <c r="T9" s="1458" t="s">
        <v>8</v>
      </c>
      <c r="U9" s="1459">
        <f t="shared" ref="U9:U17" si="1">H9</f>
        <v>0</v>
      </c>
      <c r="V9" s="1458" t="s">
        <v>8</v>
      </c>
      <c r="W9" s="1459">
        <f t="shared" ref="W9:W17" si="2">J9</f>
        <v>0</v>
      </c>
      <c r="X9" s="1460"/>
      <c r="Y9" s="3680" t="s">
        <v>508</v>
      </c>
      <c r="Z9" s="3681"/>
      <c r="AA9" s="1461" t="e">
        <f>D9/F9</f>
        <v>#DIV/0!</v>
      </c>
      <c r="AB9" s="1461" t="e">
        <f>D9/H9</f>
        <v>#DIV/0!</v>
      </c>
      <c r="AC9" s="1461" t="e">
        <f>D9/J9</f>
        <v>#DIV/0!</v>
      </c>
    </row>
    <row r="10" spans="1:29" s="1166" customFormat="1" ht="16"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80" t="s">
        <v>511</v>
      </c>
      <c r="Q10" s="3681"/>
      <c r="R10" s="1458" t="s">
        <v>8</v>
      </c>
      <c r="S10" s="1459">
        <f t="shared" si="0"/>
        <v>0</v>
      </c>
      <c r="T10" s="1458" t="s">
        <v>8</v>
      </c>
      <c r="U10" s="1459">
        <f t="shared" si="1"/>
        <v>0</v>
      </c>
      <c r="V10" s="1458" t="s">
        <v>8</v>
      </c>
      <c r="W10" s="1459">
        <f t="shared" si="2"/>
        <v>0</v>
      </c>
      <c r="X10" s="1460"/>
      <c r="Y10" s="3680" t="s">
        <v>511</v>
      </c>
      <c r="Z10" s="3681"/>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50" t="s">
        <v>513</v>
      </c>
      <c r="Q11" s="1097" t="str">
        <f t="shared" ref="Q11:Q17" si="6">B11</f>
        <v>用途</v>
      </c>
      <c r="R11" s="1458" t="s">
        <v>8</v>
      </c>
      <c r="S11" s="1459">
        <f t="shared" si="0"/>
        <v>100</v>
      </c>
      <c r="T11" s="1458" t="s">
        <v>8</v>
      </c>
      <c r="U11" s="1459">
        <f t="shared" si="1"/>
        <v>100</v>
      </c>
      <c r="V11" s="1458" t="s">
        <v>8</v>
      </c>
      <c r="W11" s="1459">
        <f t="shared" si="2"/>
        <v>100</v>
      </c>
      <c r="X11" s="1460"/>
      <c r="Y11" s="3594" t="s">
        <v>514</v>
      </c>
      <c r="Z11" s="1096" t="str">
        <f t="shared" ref="Z11:Z17" si="7">Q11</f>
        <v>用途</v>
      </c>
      <c r="AA11" s="1461">
        <f t="shared" si="3"/>
        <v>1</v>
      </c>
      <c r="AB11" s="1461">
        <f t="shared" si="4"/>
        <v>1</v>
      </c>
      <c r="AC11" s="1461">
        <f t="shared" si="5"/>
        <v>1</v>
      </c>
    </row>
    <row r="12" spans="1:29" s="1247" customFormat="1" ht="30">
      <c r="A12" s="2581"/>
      <c r="B12" s="2586" t="s">
        <v>2528</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650"/>
      <c r="Q12" s="1097" t="str">
        <f t="shared" si="6"/>
        <v>土地使用年限（年）</v>
      </c>
      <c r="R12" s="1458" t="s">
        <v>8</v>
      </c>
      <c r="S12" s="1459">
        <f t="shared" si="0"/>
        <v>100</v>
      </c>
      <c r="T12" s="1458" t="s">
        <v>8</v>
      </c>
      <c r="U12" s="1459">
        <f t="shared" si="1"/>
        <v>100</v>
      </c>
      <c r="V12" s="1458" t="s">
        <v>8</v>
      </c>
      <c r="W12" s="1459">
        <f t="shared" si="2"/>
        <v>100</v>
      </c>
      <c r="X12" s="1460"/>
      <c r="Y12" s="3594"/>
      <c r="Z12" s="1096" t="str">
        <f t="shared" si="7"/>
        <v>土地使用年限（年）</v>
      </c>
      <c r="AA12" s="1461">
        <f t="shared" si="3"/>
        <v>1</v>
      </c>
      <c r="AB12" s="1461">
        <f t="shared" si="4"/>
        <v>1</v>
      </c>
      <c r="AC12" s="1461">
        <f t="shared" si="5"/>
        <v>1</v>
      </c>
    </row>
    <row r="13" spans="1:29" ht="16">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50"/>
      <c r="Q13" s="1097" t="str">
        <f t="shared" si="6"/>
        <v>容积率</v>
      </c>
      <c r="R13" s="1458" t="s">
        <v>8</v>
      </c>
      <c r="S13" s="1459" t="e">
        <f t="shared" si="0"/>
        <v>#N/A</v>
      </c>
      <c r="T13" s="1458" t="s">
        <v>8</v>
      </c>
      <c r="U13" s="1459" t="e">
        <f t="shared" si="1"/>
        <v>#N/A</v>
      </c>
      <c r="V13" s="1458" t="s">
        <v>8</v>
      </c>
      <c r="W13" s="1459" t="e">
        <f t="shared" si="2"/>
        <v>#N/A</v>
      </c>
      <c r="X13" s="1460"/>
      <c r="Y13" s="3594"/>
      <c r="Z13" s="1096" t="str">
        <f t="shared" si="7"/>
        <v>容积率</v>
      </c>
      <c r="AA13" s="1461" t="e">
        <f t="shared" si="3"/>
        <v>#N/A</v>
      </c>
      <c r="AB13" s="1461" t="e">
        <f t="shared" si="4"/>
        <v>#N/A</v>
      </c>
      <c r="AC13" s="1461" t="e">
        <f t="shared" si="5"/>
        <v>#N/A</v>
      </c>
    </row>
    <row r="14" spans="1:29" s="1166" customFormat="1" ht="16">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D14/F14</f>
        <v>1</v>
      </c>
      <c r="AB14" s="1461">
        <f>D14/H14</f>
        <v>1</v>
      </c>
      <c r="AC14" s="1461">
        <f>D14/J14</f>
        <v>1</v>
      </c>
    </row>
    <row r="15" spans="1:29" ht="16">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50"/>
      <c r="Q15" s="1097">
        <f t="shared" si="6"/>
        <v>111</v>
      </c>
      <c r="R15" s="1458" t="s">
        <v>8</v>
      </c>
      <c r="S15" s="1459">
        <f t="shared" si="0"/>
        <v>100</v>
      </c>
      <c r="T15" s="1458" t="s">
        <v>8</v>
      </c>
      <c r="U15" s="1459">
        <f t="shared" si="1"/>
        <v>100</v>
      </c>
      <c r="V15" s="1458" t="s">
        <v>8</v>
      </c>
      <c r="W15" s="1459">
        <f t="shared" si="2"/>
        <v>100</v>
      </c>
      <c r="X15" s="1460"/>
      <c r="Y15" s="3594"/>
      <c r="Z15" s="1096">
        <f t="shared" si="7"/>
        <v>111</v>
      </c>
      <c r="AA15" s="1461">
        <f t="shared" si="3"/>
        <v>1</v>
      </c>
      <c r="AB15" s="1461">
        <f t="shared" si="4"/>
        <v>1</v>
      </c>
      <c r="AC15" s="1461">
        <f t="shared" si="5"/>
        <v>1</v>
      </c>
    </row>
    <row r="16" spans="1:29" ht="17"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50"/>
      <c r="Q16" s="1097">
        <f t="shared" si="6"/>
        <v>111</v>
      </c>
      <c r="R16" s="1458" t="s">
        <v>8</v>
      </c>
      <c r="S16" s="1459">
        <f t="shared" si="0"/>
        <v>100</v>
      </c>
      <c r="T16" s="1458" t="s">
        <v>8</v>
      </c>
      <c r="U16" s="1459">
        <f t="shared" si="1"/>
        <v>100</v>
      </c>
      <c r="V16" s="1458" t="s">
        <v>8</v>
      </c>
      <c r="W16" s="1459">
        <f t="shared" si="2"/>
        <v>100</v>
      </c>
      <c r="X16" s="1460"/>
      <c r="Y16" s="3594"/>
      <c r="Z16" s="1096">
        <f t="shared" si="7"/>
        <v>111</v>
      </c>
      <c r="AA16" s="1461">
        <f t="shared" si="3"/>
        <v>1</v>
      </c>
      <c r="AB16" s="1461">
        <f t="shared" si="4"/>
        <v>1</v>
      </c>
      <c r="AC16" s="1461">
        <f t="shared" si="5"/>
        <v>1</v>
      </c>
    </row>
    <row r="17" spans="1:29" ht="60">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83" t="s">
        <v>518</v>
      </c>
      <c r="Q17" s="1462" t="str">
        <f t="shared" si="6"/>
        <v>产业集聚程度</v>
      </c>
      <c r="R17" s="1463" t="s">
        <v>8</v>
      </c>
      <c r="S17" s="1464">
        <f t="shared" si="0"/>
        <v>100</v>
      </c>
      <c r="T17" s="1463" t="s">
        <v>8</v>
      </c>
      <c r="U17" s="1464">
        <f t="shared" si="1"/>
        <v>100</v>
      </c>
      <c r="V17" s="1463" t="s">
        <v>8</v>
      </c>
      <c r="W17" s="1464">
        <f t="shared" si="2"/>
        <v>100</v>
      </c>
      <c r="X17" s="1457"/>
      <c r="Y17" s="3683" t="s">
        <v>518</v>
      </c>
      <c r="Z17" s="1465" t="str">
        <f t="shared" si="7"/>
        <v>产业集聚程度</v>
      </c>
      <c r="AA17" s="1466">
        <f t="shared" si="3"/>
        <v>1</v>
      </c>
      <c r="AB17" s="1466">
        <f t="shared" si="4"/>
        <v>1</v>
      </c>
      <c r="AC17" s="1466">
        <f t="shared" si="5"/>
        <v>1</v>
      </c>
    </row>
    <row r="18" spans="1:29" ht="16">
      <c r="A18" s="508"/>
      <c r="B18" s="840"/>
      <c r="C18" s="552"/>
      <c r="D18" s="531"/>
      <c r="E18" s="530"/>
      <c r="F18" s="531"/>
      <c r="G18" s="530"/>
      <c r="H18" s="535"/>
      <c r="I18" s="530"/>
      <c r="J18" s="531"/>
      <c r="K18" s="507"/>
      <c r="L18" s="1976"/>
      <c r="M18" s="1968"/>
      <c r="N18" s="1968"/>
      <c r="O18" s="1975"/>
      <c r="P18" s="3684"/>
      <c r="Q18" s="1462"/>
      <c r="R18" s="1463"/>
      <c r="S18" s="1464"/>
      <c r="T18" s="1463"/>
      <c r="U18" s="1464"/>
      <c r="V18" s="1463"/>
      <c r="W18" s="1464"/>
      <c r="X18" s="1457"/>
      <c r="Y18" s="3684"/>
      <c r="Z18" s="1465"/>
      <c r="AA18" s="1466">
        <v>1</v>
      </c>
      <c r="AB18" s="1466">
        <v>1</v>
      </c>
      <c r="AC18" s="1466">
        <v>1</v>
      </c>
    </row>
    <row r="19" spans="1:29" ht="90">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84"/>
      <c r="Q19" s="1462" t="str">
        <f>B19</f>
        <v>交通便捷度</v>
      </c>
      <c r="R19" s="1463" t="s">
        <v>8</v>
      </c>
      <c r="S19" s="1464">
        <f>F19</f>
        <v>100</v>
      </c>
      <c r="T19" s="1463" t="s">
        <v>8</v>
      </c>
      <c r="U19" s="1464">
        <f>H19</f>
        <v>100</v>
      </c>
      <c r="V19" s="1463" t="s">
        <v>8</v>
      </c>
      <c r="W19" s="1464">
        <f>J19</f>
        <v>100</v>
      </c>
      <c r="X19" s="1457"/>
      <c r="Y19" s="3684"/>
      <c r="Z19" s="1465" t="str">
        <f>Q19</f>
        <v>交通便捷度</v>
      </c>
      <c r="AA19" s="1466">
        <f t="shared" si="3"/>
        <v>1</v>
      </c>
      <c r="AB19" s="1466">
        <f t="shared" si="4"/>
        <v>1</v>
      </c>
      <c r="AC19" s="1466">
        <f t="shared" si="5"/>
        <v>1</v>
      </c>
    </row>
    <row r="20" spans="1:29" ht="16">
      <c r="A20" s="508"/>
      <c r="B20" s="893"/>
      <c r="C20" s="552"/>
      <c r="D20" s="531"/>
      <c r="E20" s="532"/>
      <c r="F20" s="531"/>
      <c r="G20" s="532"/>
      <c r="H20" s="531"/>
      <c r="I20" s="534"/>
      <c r="J20" s="531"/>
      <c r="K20" s="507"/>
      <c r="L20" s="1976"/>
      <c r="M20" s="1968"/>
      <c r="N20" s="1968"/>
      <c r="O20" s="1975"/>
      <c r="P20" s="3684"/>
      <c r="Q20" s="1462"/>
      <c r="R20" s="1463"/>
      <c r="S20" s="1464"/>
      <c r="T20" s="1463"/>
      <c r="U20" s="1464"/>
      <c r="V20" s="1463"/>
      <c r="W20" s="1464"/>
      <c r="X20" s="1457"/>
      <c r="Y20" s="3684"/>
      <c r="Z20" s="1465"/>
      <c r="AA20" s="1466">
        <v>1</v>
      </c>
      <c r="AB20" s="1466">
        <v>1</v>
      </c>
      <c r="AC20" s="1466">
        <v>1</v>
      </c>
    </row>
    <row r="21" spans="1:29" ht="16">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84"/>
      <c r="Q21" s="1462" t="str">
        <f t="shared" ref="Q21:Q35" si="8">B21</f>
        <v>区域土地利用方向</v>
      </c>
      <c r="R21" s="1463" t="s">
        <v>8</v>
      </c>
      <c r="S21" s="1464">
        <f>F21</f>
        <v>100</v>
      </c>
      <c r="T21" s="1463" t="s">
        <v>8</v>
      </c>
      <c r="U21" s="1464">
        <f>H21</f>
        <v>100</v>
      </c>
      <c r="V21" s="1463" t="s">
        <v>8</v>
      </c>
      <c r="W21" s="1464">
        <f>J21</f>
        <v>100</v>
      </c>
      <c r="X21" s="1457"/>
      <c r="Y21" s="3684"/>
      <c r="Z21" s="1465" t="str">
        <f>Q21</f>
        <v>区域土地利用方向</v>
      </c>
      <c r="AA21" s="1466">
        <f t="shared" si="3"/>
        <v>1</v>
      </c>
      <c r="AB21" s="1466">
        <f t="shared" si="4"/>
        <v>1</v>
      </c>
      <c r="AC21" s="1466">
        <f t="shared" si="5"/>
        <v>1</v>
      </c>
    </row>
    <row r="22" spans="1:29" ht="16">
      <c r="A22" s="491"/>
      <c r="B22" s="571"/>
      <c r="C22" s="552"/>
      <c r="D22" s="531"/>
      <c r="E22" s="532"/>
      <c r="F22" s="533"/>
      <c r="G22" s="534"/>
      <c r="H22" s="533"/>
      <c r="I22" s="534"/>
      <c r="J22" s="533"/>
      <c r="K22" s="1256"/>
      <c r="L22" s="1976"/>
      <c r="M22" s="1968"/>
      <c r="N22" s="1968"/>
      <c r="O22" s="1975"/>
      <c r="P22" s="3684"/>
      <c r="Q22" s="1462"/>
      <c r="R22" s="1463"/>
      <c r="S22" s="1464"/>
      <c r="T22" s="1463"/>
      <c r="U22" s="1464"/>
      <c r="V22" s="1463"/>
      <c r="W22" s="1464"/>
      <c r="X22" s="1457"/>
      <c r="Y22" s="3684"/>
      <c r="Z22" s="1465"/>
      <c r="AA22" s="1466"/>
      <c r="AB22" s="1466"/>
      <c r="AC22" s="1466"/>
    </row>
    <row r="23" spans="1:29" ht="7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84"/>
      <c r="Q23" s="1462" t="str">
        <f t="shared" si="8"/>
        <v>环境状况</v>
      </c>
      <c r="R23" s="1463" t="s">
        <v>8</v>
      </c>
      <c r="S23" s="1464">
        <f>F23</f>
        <v>100</v>
      </c>
      <c r="T23" s="1463" t="s">
        <v>8</v>
      </c>
      <c r="U23" s="1464">
        <f>H23</f>
        <v>100</v>
      </c>
      <c r="V23" s="1463" t="s">
        <v>8</v>
      </c>
      <c r="W23" s="1464">
        <f>J23</f>
        <v>100</v>
      </c>
      <c r="X23" s="1457"/>
      <c r="Y23" s="3684"/>
      <c r="Z23" s="1465" t="str">
        <f>Q23</f>
        <v>环境状况</v>
      </c>
      <c r="AA23" s="1466">
        <f t="shared" si="3"/>
        <v>1</v>
      </c>
      <c r="AB23" s="1466">
        <f t="shared" si="4"/>
        <v>1</v>
      </c>
      <c r="AC23" s="1466">
        <f t="shared" si="5"/>
        <v>1</v>
      </c>
    </row>
    <row r="24" spans="1:29" ht="16">
      <c r="A24" s="491"/>
      <c r="B24" s="571"/>
      <c r="C24" s="552"/>
      <c r="D24" s="531"/>
      <c r="E24" s="530"/>
      <c r="F24" s="531"/>
      <c r="G24" s="530"/>
      <c r="H24" s="531"/>
      <c r="I24" s="552"/>
      <c r="J24" s="531"/>
      <c r="K24" s="507"/>
      <c r="L24" s="1976"/>
      <c r="M24" s="1968"/>
      <c r="N24" s="1968"/>
      <c r="O24" s="1975"/>
      <c r="P24" s="3684"/>
      <c r="Q24" s="1462"/>
      <c r="R24" s="1463"/>
      <c r="S24" s="1464"/>
      <c r="T24" s="1463"/>
      <c r="U24" s="1464"/>
      <c r="V24" s="1463"/>
      <c r="W24" s="1464"/>
      <c r="X24" s="1457"/>
      <c r="Y24" s="3684"/>
      <c r="Z24" s="1465"/>
      <c r="AA24" s="1466">
        <v>1</v>
      </c>
      <c r="AB24" s="1466">
        <v>1</v>
      </c>
      <c r="AC24" s="1466">
        <v>1</v>
      </c>
    </row>
    <row r="25" spans="1:29" s="1166" customFormat="1" ht="4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84"/>
      <c r="Q25" s="1097" t="str">
        <f t="shared" si="8"/>
        <v>公共配套设施</v>
      </c>
      <c r="R25" s="1458" t="s">
        <v>8</v>
      </c>
      <c r="S25" s="1459">
        <f>F25</f>
        <v>100</v>
      </c>
      <c r="T25" s="1458" t="s">
        <v>8</v>
      </c>
      <c r="U25" s="1459">
        <f>H25</f>
        <v>100</v>
      </c>
      <c r="V25" s="1458" t="s">
        <v>8</v>
      </c>
      <c r="W25" s="1459">
        <f>J25</f>
        <v>100</v>
      </c>
      <c r="X25" s="1460"/>
      <c r="Y25" s="3684"/>
      <c r="Z25" s="1096" t="str">
        <f>Q25</f>
        <v>公共配套设施</v>
      </c>
      <c r="AA25" s="1466">
        <f>D25/F25</f>
        <v>1</v>
      </c>
      <c r="AB25" s="1466">
        <f>D25/H25</f>
        <v>1</v>
      </c>
      <c r="AC25" s="1466">
        <f>D25/J25</f>
        <v>1</v>
      </c>
    </row>
    <row r="26" spans="1:29" s="1166" customFormat="1" ht="16">
      <c r="A26" s="553"/>
      <c r="B26" s="571"/>
      <c r="C26" s="2385"/>
      <c r="D26" s="531"/>
      <c r="E26" s="530"/>
      <c r="F26" s="531"/>
      <c r="G26" s="530"/>
      <c r="H26" s="531"/>
      <c r="I26" s="552"/>
      <c r="J26" s="531"/>
      <c r="K26" s="507"/>
      <c r="L26" s="1969"/>
      <c r="M26" s="1970"/>
      <c r="N26" s="1970"/>
      <c r="O26" s="1971"/>
      <c r="P26" s="3684"/>
      <c r="Q26" s="1097"/>
      <c r="R26" s="1458"/>
      <c r="S26" s="1459"/>
      <c r="T26" s="1458"/>
      <c r="U26" s="1459"/>
      <c r="V26" s="1458"/>
      <c r="W26" s="1459"/>
      <c r="X26" s="1460"/>
      <c r="Y26" s="3684"/>
      <c r="Z26" s="1096"/>
      <c r="AA26" s="1461">
        <v>1</v>
      </c>
      <c r="AB26" s="1461">
        <v>1</v>
      </c>
      <c r="AC26" s="1461">
        <v>1</v>
      </c>
    </row>
    <row r="27" spans="1:29" s="1166" customFormat="1" ht="30">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84"/>
      <c r="Q27" s="2377" t="str">
        <f t="shared" ref="Q27" si="9">B27</f>
        <v>基础设施水平</v>
      </c>
      <c r="R27" s="1458" t="s">
        <v>8</v>
      </c>
      <c r="S27" s="1459">
        <f>F27</f>
        <v>100</v>
      </c>
      <c r="T27" s="1458" t="s">
        <v>8</v>
      </c>
      <c r="U27" s="1459">
        <f>H27</f>
        <v>100</v>
      </c>
      <c r="V27" s="1458" t="s">
        <v>8</v>
      </c>
      <c r="W27" s="1459">
        <f>J27</f>
        <v>100</v>
      </c>
      <c r="X27" s="1460"/>
      <c r="Y27" s="3684"/>
      <c r="Z27" s="2376" t="str">
        <f>Q27</f>
        <v>基础设施水平</v>
      </c>
      <c r="AA27" s="1466">
        <f>D27/F27</f>
        <v>1</v>
      </c>
      <c r="AB27" s="1466">
        <f>D27/H27</f>
        <v>1</v>
      </c>
      <c r="AC27" s="1466">
        <f>D27/J27</f>
        <v>1</v>
      </c>
    </row>
    <row r="28" spans="1:29" s="1166" customFormat="1" ht="16">
      <c r="A28" s="553"/>
      <c r="B28" s="571"/>
      <c r="C28" s="2385"/>
      <c r="D28" s="531"/>
      <c r="E28" s="555"/>
      <c r="F28" s="531"/>
      <c r="G28" s="555"/>
      <c r="H28" s="531"/>
      <c r="I28" s="555"/>
      <c r="J28" s="531"/>
      <c r="K28" s="507"/>
      <c r="L28" s="1969"/>
      <c r="M28" s="1970"/>
      <c r="N28" s="1970"/>
      <c r="O28" s="1971"/>
      <c r="P28" s="3684"/>
      <c r="Q28" s="2377"/>
      <c r="R28" s="1458"/>
      <c r="S28" s="1459"/>
      <c r="T28" s="1458"/>
      <c r="U28" s="1459"/>
      <c r="V28" s="1458"/>
      <c r="W28" s="1459"/>
      <c r="X28" s="1460"/>
      <c r="Y28" s="3684"/>
      <c r="Z28" s="2376"/>
      <c r="AA28" s="1461">
        <v>1</v>
      </c>
      <c r="AB28" s="1461">
        <v>1</v>
      </c>
      <c r="AC28" s="1461">
        <v>1</v>
      </c>
    </row>
    <row r="29" spans="1:29" ht="16">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84"/>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84"/>
      <c r="Z29" s="1465" t="str">
        <f t="shared" ref="Z29:Z42" si="13">Q29</f>
        <v>临街状况</v>
      </c>
      <c r="AA29" s="1466">
        <f t="shared" si="3"/>
        <v>1</v>
      </c>
      <c r="AB29" s="1466">
        <f t="shared" si="4"/>
        <v>1</v>
      </c>
      <c r="AC29" s="1466">
        <f t="shared" si="5"/>
        <v>1</v>
      </c>
    </row>
    <row r="30" spans="1:29" ht="30">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84"/>
      <c r="Q30" s="1462" t="str">
        <f t="shared" si="8"/>
        <v>毗邻道路的类型与等级</v>
      </c>
      <c r="R30" s="1463" t="s">
        <v>8</v>
      </c>
      <c r="S30" s="1464">
        <f t="shared" si="10"/>
        <v>100</v>
      </c>
      <c r="T30" s="1463" t="s">
        <v>8</v>
      </c>
      <c r="U30" s="1464">
        <f t="shared" si="11"/>
        <v>100</v>
      </c>
      <c r="V30" s="1463" t="s">
        <v>8</v>
      </c>
      <c r="W30" s="1464">
        <f t="shared" si="12"/>
        <v>100</v>
      </c>
      <c r="X30" s="1457"/>
      <c r="Y30" s="3684"/>
      <c r="Z30" s="1465" t="str">
        <f t="shared" si="13"/>
        <v>毗邻道路的类型与等级</v>
      </c>
      <c r="AA30" s="1466">
        <f t="shared" si="3"/>
        <v>1</v>
      </c>
      <c r="AB30" s="1466">
        <f t="shared" si="4"/>
        <v>1</v>
      </c>
      <c r="AC30" s="1466">
        <f t="shared" si="5"/>
        <v>1</v>
      </c>
    </row>
    <row r="31" spans="1:29" ht="16">
      <c r="A31" s="508"/>
      <c r="B31" s="571"/>
      <c r="C31" s="552"/>
      <c r="D31" s="531"/>
      <c r="E31" s="552"/>
      <c r="F31" s="531"/>
      <c r="G31" s="552"/>
      <c r="H31" s="531"/>
      <c r="I31" s="552"/>
      <c r="J31" s="531"/>
      <c r="K31" s="557"/>
      <c r="L31" s="1976"/>
      <c r="M31" s="1968"/>
      <c r="N31" s="1968"/>
      <c r="O31" s="1975"/>
      <c r="P31" s="3684"/>
      <c r="Q31" s="1462"/>
      <c r="R31" s="1463"/>
      <c r="S31" s="1464"/>
      <c r="T31" s="1463"/>
      <c r="U31" s="1464"/>
      <c r="V31" s="1463"/>
      <c r="W31" s="1464"/>
      <c r="X31" s="1457"/>
      <c r="Y31" s="3684"/>
      <c r="Z31" s="1465"/>
      <c r="AA31" s="1466">
        <v>1</v>
      </c>
      <c r="AB31" s="1466">
        <v>1</v>
      </c>
      <c r="AC31" s="1466">
        <v>1</v>
      </c>
    </row>
    <row r="32" spans="1:29" ht="16">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84"/>
      <c r="Q32" s="1462" t="str">
        <f t="shared" si="8"/>
        <v>土地级别</v>
      </c>
      <c r="R32" s="1463" t="s">
        <v>8</v>
      </c>
      <c r="S32" s="1464">
        <f t="shared" si="10"/>
        <v>100</v>
      </c>
      <c r="T32" s="1463" t="s">
        <v>8</v>
      </c>
      <c r="U32" s="1464">
        <f t="shared" si="11"/>
        <v>100</v>
      </c>
      <c r="V32" s="1463" t="s">
        <v>8</v>
      </c>
      <c r="W32" s="1464">
        <f t="shared" si="12"/>
        <v>100</v>
      </c>
      <c r="X32" s="1457"/>
      <c r="Y32" s="3684"/>
      <c r="Z32" s="1465" t="str">
        <f t="shared" si="13"/>
        <v>土地级别</v>
      </c>
      <c r="AA32" s="1466">
        <f t="shared" si="3"/>
        <v>1</v>
      </c>
      <c r="AB32" s="1466">
        <f t="shared" si="4"/>
        <v>1</v>
      </c>
      <c r="AC32" s="1466">
        <f t="shared" si="5"/>
        <v>1</v>
      </c>
    </row>
    <row r="33" spans="1:29" ht="16">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84"/>
      <c r="Q33" s="1462">
        <f t="shared" si="8"/>
        <v>111</v>
      </c>
      <c r="R33" s="1463" t="s">
        <v>8</v>
      </c>
      <c r="S33" s="1464">
        <f t="shared" si="10"/>
        <v>100</v>
      </c>
      <c r="T33" s="1463" t="s">
        <v>8</v>
      </c>
      <c r="U33" s="1464">
        <f t="shared" si="11"/>
        <v>100</v>
      </c>
      <c r="V33" s="1463" t="s">
        <v>8</v>
      </c>
      <c r="W33" s="1464">
        <f t="shared" si="12"/>
        <v>100</v>
      </c>
      <c r="X33" s="1457"/>
      <c r="Y33" s="3684"/>
      <c r="Z33" s="1465">
        <f t="shared" si="13"/>
        <v>111</v>
      </c>
      <c r="AA33" s="1466">
        <f t="shared" si="3"/>
        <v>1</v>
      </c>
      <c r="AB33" s="1466">
        <f t="shared" si="4"/>
        <v>1</v>
      </c>
      <c r="AC33" s="1466">
        <f t="shared" si="5"/>
        <v>1</v>
      </c>
    </row>
    <row r="34" spans="1:29" ht="16">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85" t="s">
        <v>528</v>
      </c>
      <c r="Q34" s="1462">
        <f t="shared" si="8"/>
        <v>111</v>
      </c>
      <c r="R34" s="1463" t="s">
        <v>8</v>
      </c>
      <c r="S34" s="1464">
        <f t="shared" si="10"/>
        <v>100</v>
      </c>
      <c r="T34" s="1463" t="s">
        <v>8</v>
      </c>
      <c r="U34" s="1464">
        <f t="shared" si="11"/>
        <v>100</v>
      </c>
      <c r="V34" s="1463" t="s">
        <v>8</v>
      </c>
      <c r="W34" s="1464">
        <f t="shared" si="12"/>
        <v>100</v>
      </c>
      <c r="X34" s="1457"/>
      <c r="Y34" s="3686" t="s">
        <v>528</v>
      </c>
      <c r="Z34" s="1465">
        <f t="shared" si="13"/>
        <v>111</v>
      </c>
      <c r="AA34" s="1466">
        <f t="shared" si="3"/>
        <v>1</v>
      </c>
      <c r="AB34" s="1466">
        <f t="shared" si="4"/>
        <v>1</v>
      </c>
      <c r="AC34" s="1466">
        <f t="shared" si="5"/>
        <v>1</v>
      </c>
    </row>
    <row r="35" spans="1:29" s="1248" customFormat="1" ht="17"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86"/>
      <c r="Q35" s="1462">
        <f t="shared" si="8"/>
        <v>111</v>
      </c>
      <c r="R35" s="1467" t="s">
        <v>8</v>
      </c>
      <c r="S35" s="1468">
        <f t="shared" si="10"/>
        <v>100</v>
      </c>
      <c r="T35" s="1467" t="s">
        <v>8</v>
      </c>
      <c r="U35" s="1468">
        <f t="shared" si="11"/>
        <v>100</v>
      </c>
      <c r="V35" s="1467" t="s">
        <v>8</v>
      </c>
      <c r="W35" s="1468">
        <f t="shared" si="12"/>
        <v>100</v>
      </c>
      <c r="X35" s="1469"/>
      <c r="Y35" s="3686"/>
      <c r="Z35" s="1470">
        <f t="shared" si="13"/>
        <v>111</v>
      </c>
      <c r="AA35" s="1466">
        <f t="shared" si="3"/>
        <v>1</v>
      </c>
      <c r="AB35" s="1466">
        <f t="shared" si="4"/>
        <v>1</v>
      </c>
      <c r="AC35" s="1466">
        <f t="shared" si="5"/>
        <v>1</v>
      </c>
    </row>
    <row r="36" spans="1:29" ht="16">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86"/>
      <c r="Q36" s="1462" t="str">
        <f>B36</f>
        <v>宗地面积</v>
      </c>
      <c r="R36" s="1463" t="s">
        <v>8</v>
      </c>
      <c r="S36" s="1464" t="e">
        <f t="shared" si="10"/>
        <v>#N/A</v>
      </c>
      <c r="T36" s="1463" t="s">
        <v>8</v>
      </c>
      <c r="U36" s="1464" t="e">
        <f t="shared" si="11"/>
        <v>#N/A</v>
      </c>
      <c r="V36" s="1463" t="s">
        <v>8</v>
      </c>
      <c r="W36" s="1464" t="e">
        <f t="shared" si="12"/>
        <v>#N/A</v>
      </c>
      <c r="X36" s="1457"/>
      <c r="Y36" s="3686"/>
      <c r="Z36" s="1465" t="str">
        <f t="shared" si="13"/>
        <v>宗地面积</v>
      </c>
      <c r="AA36" s="1466" t="e">
        <f t="shared" si="3"/>
        <v>#N/A</v>
      </c>
      <c r="AB36" s="1466" t="e">
        <f t="shared" si="4"/>
        <v>#N/A</v>
      </c>
      <c r="AC36" s="1466" t="e">
        <f t="shared" si="5"/>
        <v>#N/A</v>
      </c>
    </row>
    <row r="37" spans="1:29" ht="16">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86"/>
      <c r="Q37" s="1462" t="str">
        <f t="shared" ref="Q37:Q42" si="14">B37</f>
        <v>宗地形状</v>
      </c>
      <c r="R37" s="1463" t="s">
        <v>8</v>
      </c>
      <c r="S37" s="1464">
        <f t="shared" si="10"/>
        <v>100</v>
      </c>
      <c r="T37" s="1463" t="s">
        <v>8</v>
      </c>
      <c r="U37" s="1464">
        <f t="shared" si="11"/>
        <v>100</v>
      </c>
      <c r="V37" s="1463" t="s">
        <v>8</v>
      </c>
      <c r="W37" s="1464">
        <f t="shared" si="12"/>
        <v>100</v>
      </c>
      <c r="X37" s="1457"/>
      <c r="Y37" s="3686"/>
      <c r="Z37" s="1465" t="str">
        <f t="shared" si="13"/>
        <v>宗地形状</v>
      </c>
      <c r="AA37" s="1466">
        <f t="shared" si="3"/>
        <v>1</v>
      </c>
      <c r="AB37" s="1466">
        <f t="shared" si="4"/>
        <v>1</v>
      </c>
      <c r="AC37" s="1466">
        <f t="shared" si="5"/>
        <v>1</v>
      </c>
    </row>
    <row r="38" spans="1:29" s="1166" customFormat="1" ht="16">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86"/>
      <c r="Q38" s="1462" t="str">
        <f t="shared" si="14"/>
        <v>宗地开发程度</v>
      </c>
      <c r="R38" s="1458" t="s">
        <v>8</v>
      </c>
      <c r="S38" s="1459">
        <f t="shared" si="10"/>
        <v>100</v>
      </c>
      <c r="T38" s="1458" t="s">
        <v>8</v>
      </c>
      <c r="U38" s="1459">
        <f t="shared" si="11"/>
        <v>100</v>
      </c>
      <c r="V38" s="1458" t="s">
        <v>8</v>
      </c>
      <c r="W38" s="1459">
        <f t="shared" si="12"/>
        <v>100</v>
      </c>
      <c r="X38" s="1460"/>
      <c r="Y38" s="3686"/>
      <c r="Z38" s="1096" t="str">
        <f t="shared" si="13"/>
        <v>宗地开发程度</v>
      </c>
      <c r="AA38" s="1461">
        <f t="shared" si="3"/>
        <v>1</v>
      </c>
      <c r="AB38" s="1461">
        <f t="shared" si="4"/>
        <v>1</v>
      </c>
      <c r="AC38" s="1461">
        <f t="shared" si="5"/>
        <v>1</v>
      </c>
    </row>
    <row r="39" spans="1:29" ht="16">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86" t="s">
        <v>578</v>
      </c>
      <c r="Q39" s="1462" t="str">
        <f t="shared" si="14"/>
        <v>工程地质条件</v>
      </c>
      <c r="R39" s="1463" t="s">
        <v>8</v>
      </c>
      <c r="S39" s="1464">
        <f t="shared" si="10"/>
        <v>100</v>
      </c>
      <c r="T39" s="1463" t="s">
        <v>8</v>
      </c>
      <c r="U39" s="1464">
        <f t="shared" si="11"/>
        <v>100</v>
      </c>
      <c r="V39" s="1463" t="s">
        <v>8</v>
      </c>
      <c r="W39" s="1464">
        <f t="shared" si="12"/>
        <v>100</v>
      </c>
      <c r="X39" s="1457"/>
      <c r="Y39" s="3686" t="s">
        <v>578</v>
      </c>
      <c r="Z39" s="1465" t="str">
        <f t="shared" si="13"/>
        <v>工程地质条件</v>
      </c>
      <c r="AA39" s="1466">
        <f t="shared" si="3"/>
        <v>1</v>
      </c>
      <c r="AB39" s="1466">
        <f t="shared" si="4"/>
        <v>1</v>
      </c>
      <c r="AC39" s="1466">
        <f t="shared" si="5"/>
        <v>1</v>
      </c>
    </row>
    <row r="40" spans="1:29" ht="16">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86"/>
      <c r="Q40" s="1462">
        <f t="shared" si="14"/>
        <v>111</v>
      </c>
      <c r="R40" s="1463" t="s">
        <v>8</v>
      </c>
      <c r="S40" s="1464">
        <f t="shared" si="10"/>
        <v>100</v>
      </c>
      <c r="T40" s="1463" t="s">
        <v>8</v>
      </c>
      <c r="U40" s="1464">
        <f t="shared" si="11"/>
        <v>100</v>
      </c>
      <c r="V40" s="1463" t="s">
        <v>8</v>
      </c>
      <c r="W40" s="1464">
        <f t="shared" si="12"/>
        <v>100</v>
      </c>
      <c r="X40" s="1457"/>
      <c r="Y40" s="3686"/>
      <c r="Z40" s="1465">
        <f t="shared" si="13"/>
        <v>111</v>
      </c>
      <c r="AA40" s="1466">
        <f t="shared" si="3"/>
        <v>1</v>
      </c>
      <c r="AB40" s="1466">
        <f t="shared" si="4"/>
        <v>1</v>
      </c>
      <c r="AC40" s="1466">
        <f t="shared" si="5"/>
        <v>1</v>
      </c>
    </row>
    <row r="41" spans="1:29" ht="16">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86"/>
      <c r="Q41" s="1462">
        <f t="shared" si="14"/>
        <v>111</v>
      </c>
      <c r="R41" s="1463" t="s">
        <v>8</v>
      </c>
      <c r="S41" s="1464">
        <f t="shared" si="10"/>
        <v>100</v>
      </c>
      <c r="T41" s="1463" t="s">
        <v>8</v>
      </c>
      <c r="U41" s="1464">
        <f t="shared" si="11"/>
        <v>100</v>
      </c>
      <c r="V41" s="1463" t="s">
        <v>8</v>
      </c>
      <c r="W41" s="1464">
        <f t="shared" si="12"/>
        <v>100</v>
      </c>
      <c r="X41" s="1457"/>
      <c r="Y41" s="3686"/>
      <c r="Z41" s="1465">
        <f t="shared" si="13"/>
        <v>111</v>
      </c>
      <c r="AA41" s="1466">
        <f t="shared" si="3"/>
        <v>1</v>
      </c>
      <c r="AB41" s="1466">
        <f t="shared" si="4"/>
        <v>1</v>
      </c>
      <c r="AC41" s="1466">
        <f t="shared" si="5"/>
        <v>1</v>
      </c>
    </row>
    <row r="42" spans="1:29" s="1248" customFormat="1" ht="17"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86"/>
      <c r="Q42" s="1462">
        <f t="shared" si="14"/>
        <v>111</v>
      </c>
      <c r="R42" s="1467" t="s">
        <v>8</v>
      </c>
      <c r="S42" s="1468">
        <f t="shared" si="10"/>
        <v>100</v>
      </c>
      <c r="T42" s="1467" t="s">
        <v>8</v>
      </c>
      <c r="U42" s="1468">
        <f t="shared" si="11"/>
        <v>100</v>
      </c>
      <c r="V42" s="1467" t="s">
        <v>8</v>
      </c>
      <c r="W42" s="1468">
        <f t="shared" si="12"/>
        <v>100</v>
      </c>
      <c r="X42" s="1469"/>
      <c r="Y42" s="3686"/>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50" t="str">
        <f>A43</f>
        <v>成交单价</v>
      </c>
      <c r="Q43" s="3650"/>
      <c r="R43" s="3651">
        <f>E43</f>
        <v>0</v>
      </c>
      <c r="S43" s="3651"/>
      <c r="T43" s="3651">
        <f>G43</f>
        <v>0</v>
      </c>
      <c r="U43" s="3651"/>
      <c r="V43" s="3651">
        <f>I43</f>
        <v>0</v>
      </c>
      <c r="W43" s="3651"/>
      <c r="X43" s="1452"/>
      <c r="Y43" s="1471"/>
      <c r="Z43" s="1452"/>
      <c r="AA43" s="1452"/>
      <c r="AB43" s="1452"/>
      <c r="AC43" s="1452"/>
    </row>
    <row r="44" spans="1:29" ht="1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50" t="str">
        <f>A44</f>
        <v>比较价格（元/平方米）</v>
      </c>
      <c r="Q44" s="3650"/>
      <c r="R44" s="3652" t="e">
        <f>ROUND(PRODUCT(R43,AA9:AA42),0)</f>
        <v>#DIV/0!</v>
      </c>
      <c r="S44" s="3652"/>
      <c r="T44" s="3652" t="e">
        <f>ROUND(PRODUCT(T43,AB9:AB42),0)</f>
        <v>#DIV/0!</v>
      </c>
      <c r="U44" s="3652"/>
      <c r="V44" s="3652" t="e">
        <f>ROUND(PRODUCT(V43,AC9:AC42),0)</f>
        <v>#DIV/0!</v>
      </c>
      <c r="W44" s="3652"/>
      <c r="X44" s="1452"/>
      <c r="Y44" s="1452"/>
      <c r="Z44" s="1452"/>
      <c r="AA44" s="1452"/>
      <c r="AB44" s="1452"/>
      <c r="AC44" s="1452"/>
    </row>
    <row r="45" spans="1:29" ht="15" thickBot="1">
      <c r="A45" s="595" t="s">
        <v>2691</v>
      </c>
      <c r="B45" s="596"/>
      <c r="C45" s="597" t="e">
        <f>R45</f>
        <v>#DIV/0!</v>
      </c>
      <c r="D45" s="597"/>
      <c r="E45" s="597"/>
      <c r="F45" s="597"/>
      <c r="G45" s="597"/>
      <c r="H45" s="597"/>
      <c r="I45" s="597"/>
      <c r="J45" s="597"/>
      <c r="K45" s="1250"/>
      <c r="L45" s="1978"/>
      <c r="M45" s="1968"/>
      <c r="N45" s="1968"/>
      <c r="O45" s="1979"/>
      <c r="P45" s="3687" t="str">
        <f>A45</f>
        <v>估价对象XX用房的比较价格（楼面单价，元/平方米）</v>
      </c>
      <c r="Q45" s="3688"/>
      <c r="R45" s="3699" t="e">
        <f>ROUND(IF(D44="简单平均",AVERAGE(R44:W44),R44*F44+T44*H44+V44*J44),0)</f>
        <v>#DIV/0!</v>
      </c>
      <c r="S45" s="3699"/>
      <c r="T45" s="3699"/>
      <c r="U45" s="3699"/>
      <c r="V45" s="3699"/>
      <c r="W45" s="3699"/>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30">
      <c r="A52" s="603" t="s">
        <v>538</v>
      </c>
      <c r="B52" s="604" t="s">
        <v>539</v>
      </c>
      <c r="C52" s="1453" t="s">
        <v>1519</v>
      </c>
      <c r="D52" s="2059" t="s">
        <v>2076</v>
      </c>
      <c r="E52" s="605" t="s">
        <v>540</v>
      </c>
      <c r="F52" s="1819" t="s">
        <v>541</v>
      </c>
      <c r="G52" s="3695" t="s">
        <v>2068</v>
      </c>
      <c r="H52" s="3696"/>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c r="A53" s="607" t="s">
        <v>542</v>
      </c>
      <c r="B53" s="608" t="e">
        <f>C45</f>
        <v>#DIV/0!</v>
      </c>
      <c r="C53" s="609">
        <v>1</v>
      </c>
      <c r="D53" s="2060">
        <v>1</v>
      </c>
      <c r="E53" s="609">
        <f>'数据-汇总表'!E8+'数据-汇总表'!E9</f>
        <v>83394.849999999991</v>
      </c>
      <c r="F53" s="1818" t="e">
        <f t="shared" ref="F53:F61" si="15">ROUND(B53*E53/10000,0)</f>
        <v>#DIV/0!</v>
      </c>
      <c r="G53" s="3697"/>
      <c r="H53" s="3698"/>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c r="A54" s="611" t="s">
        <v>543</v>
      </c>
      <c r="B54" s="612" t="e">
        <f>ROUND($C$45*C54*D54,0)</f>
        <v>#DIV/0!</v>
      </c>
      <c r="C54" s="372">
        <f t="shared" ref="C54:C61" si="16">IF($C$52="北京市系数",I54,J54)</f>
        <v>0.6</v>
      </c>
      <c r="D54" s="2061">
        <v>0.25</v>
      </c>
      <c r="E54" s="613"/>
      <c r="F54" s="1818" t="e">
        <f t="shared" si="15"/>
        <v>#DIV/0!</v>
      </c>
      <c r="G54" s="3460" t="s">
        <v>2069</v>
      </c>
      <c r="H54" s="1822" t="str">
        <f>项目基本情况!B43</f>
        <v>六级</v>
      </c>
      <c r="I54" s="1821">
        <f>SUMIF(修正!$A$57:$A$68,H54,修正!B57:B68)</f>
        <v>0.6</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c r="A55" s="611" t="s">
        <v>544</v>
      </c>
      <c r="B55" s="612" t="e">
        <f t="shared" ref="B55:B61" si="17">ROUND($C$45*C55*D55,0)</f>
        <v>#DIV/0!</v>
      </c>
      <c r="C55" s="372">
        <f t="shared" si="16"/>
        <v>0.3</v>
      </c>
      <c r="D55" s="2061">
        <v>0.25</v>
      </c>
      <c r="E55" s="613"/>
      <c r="F55" s="1818" t="e">
        <f t="shared" si="15"/>
        <v>#DIV/0!</v>
      </c>
      <c r="G55" s="3461"/>
      <c r="H55" s="1823" t="str">
        <f>项目基本情况!B43</f>
        <v>六级</v>
      </c>
      <c r="I55" s="1821">
        <f>SUMIF(修正!$A$57:$A$68,H55,修正!C57:C68)</f>
        <v>0.3</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c r="A56" s="611" t="s">
        <v>545</v>
      </c>
      <c r="B56" s="612" t="e">
        <f t="shared" si="17"/>
        <v>#DIV/0!</v>
      </c>
      <c r="C56" s="372">
        <f t="shared" si="16"/>
        <v>0.25</v>
      </c>
      <c r="D56" s="2061">
        <v>0.25</v>
      </c>
      <c r="E56" s="613"/>
      <c r="F56" s="1818" t="e">
        <f t="shared" si="15"/>
        <v>#DIV/0!</v>
      </c>
      <c r="G56" s="3461"/>
      <c r="H56" s="1823" t="str">
        <f>项目基本情况!B43</f>
        <v>六级</v>
      </c>
      <c r="I56" s="1821">
        <f>SUMIF(修正!$A$57:$A$68,H56,修正!D57:D68)</f>
        <v>0.25</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c r="A60" s="611" t="s">
        <v>548</v>
      </c>
      <c r="B60" s="612" t="e">
        <f t="shared" si="17"/>
        <v>#DIV/0!</v>
      </c>
      <c r="C60" s="372">
        <f t="shared" si="16"/>
        <v>0.15</v>
      </c>
      <c r="D60" s="2061">
        <v>0.25</v>
      </c>
      <c r="E60" s="615">
        <f>'数据-汇总表'!E14</f>
        <v>0</v>
      </c>
      <c r="F60" s="1818" t="e">
        <f t="shared" si="15"/>
        <v>#DIV/0!</v>
      </c>
      <c r="G60" s="1824" t="s">
        <v>2069</v>
      </c>
      <c r="H60" s="1823" t="str">
        <f>项目基本情况!B43</f>
        <v>六级</v>
      </c>
      <c r="I60" s="1821">
        <f>SUMIF(修正!$A$57:$A$68,H60,修正!G57:G68)</f>
        <v>0.15</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5" thickBot="1">
      <c r="A62" s="616" t="s">
        <v>550</v>
      </c>
      <c r="B62" s="617" t="s">
        <v>17</v>
      </c>
      <c r="C62" s="617" t="s">
        <v>18</v>
      </c>
      <c r="D62" s="617" t="s">
        <v>2077</v>
      </c>
      <c r="E62" s="617">
        <f>IF(B43="楼面地价",SUM(E53:E61),'数据-汇总表'!D3)</f>
        <v>52670.3</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2022-9-1</v>
      </c>
      <c r="D64" s="2465">
        <f>EDATE(C64,-3)</f>
        <v>44713</v>
      </c>
      <c r="E64" s="2465">
        <f t="shared" ref="E64:N64" si="18">EDATE(D64,-3)</f>
        <v>44621</v>
      </c>
      <c r="F64" s="2465">
        <f t="shared" si="18"/>
        <v>44531</v>
      </c>
      <c r="G64" s="2465">
        <f t="shared" si="18"/>
        <v>44440</v>
      </c>
      <c r="H64" s="2465">
        <f t="shared" si="18"/>
        <v>44348</v>
      </c>
      <c r="I64" s="2465">
        <f t="shared" si="18"/>
        <v>44256</v>
      </c>
      <c r="J64" s="2465">
        <f t="shared" si="18"/>
        <v>44166</v>
      </c>
      <c r="K64" s="2465">
        <f t="shared" si="18"/>
        <v>44075</v>
      </c>
      <c r="L64" s="2465">
        <f t="shared" si="18"/>
        <v>43983</v>
      </c>
      <c r="M64" s="2465">
        <f t="shared" si="18"/>
        <v>43891</v>
      </c>
      <c r="N64" s="2465">
        <f t="shared" si="18"/>
        <v>43800</v>
      </c>
      <c r="O64" s="1979"/>
      <c r="P64" s="1979"/>
      <c r="Q64" s="1979"/>
      <c r="R64" s="1979"/>
      <c r="S64" s="1979"/>
      <c r="T64" s="1979"/>
      <c r="U64" s="1979"/>
      <c r="V64" s="1979"/>
      <c r="W64" s="1979"/>
      <c r="X64" s="1979"/>
      <c r="Y64" s="1979"/>
      <c r="Z64" s="1979"/>
      <c r="AA64" s="1979"/>
      <c r="AB64" s="1979"/>
      <c r="AC64" s="1979"/>
    </row>
    <row r="65" spans="1:29" ht="21"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2022-3</v>
      </c>
      <c r="D66" s="2467" t="str">
        <f t="shared" ref="D66:N66" si="19">YEAR(D64)&amp;"-"&amp;ROUNDUP(MONTH(D64)/3,0)</f>
        <v>2022-2</v>
      </c>
      <c r="E66" s="2467" t="str">
        <f t="shared" si="19"/>
        <v>2022-1</v>
      </c>
      <c r="F66" s="2467" t="str">
        <f t="shared" si="19"/>
        <v>2021-4</v>
      </c>
      <c r="G66" s="2467" t="str">
        <f t="shared" si="19"/>
        <v>2021-3</v>
      </c>
      <c r="H66" s="2467" t="str">
        <f t="shared" si="19"/>
        <v>2021-2</v>
      </c>
      <c r="I66" s="2467" t="str">
        <f t="shared" si="19"/>
        <v>2021-1</v>
      </c>
      <c r="J66" s="2467" t="str">
        <f t="shared" si="19"/>
        <v>2020-4</v>
      </c>
      <c r="K66" s="2467" t="str">
        <f t="shared" si="19"/>
        <v>2020-3</v>
      </c>
      <c r="L66" s="2467" t="str">
        <f t="shared" si="19"/>
        <v>2020-2</v>
      </c>
      <c r="M66" s="2467" t="str">
        <f t="shared" si="19"/>
        <v>2020-1</v>
      </c>
      <c r="N66" s="2467" t="str">
        <f t="shared" si="19"/>
        <v>2019-4</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北京市平均增长率1.15%</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ht="15">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31"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6"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ht="15">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6"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16"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31"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6"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6"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6"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31"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6"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ht="15">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6"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6"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6"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baseColWidth="10" defaultColWidth="12" defaultRowHeight="14"/>
  <cols>
    <col min="1" max="1" width="9.6640625" style="1308" customWidth="1"/>
    <col min="2" max="2" width="20.83203125" style="1423" customWidth="1"/>
    <col min="3" max="4" width="12" style="1309"/>
    <col min="5" max="5" width="14.6640625" style="1309" customWidth="1"/>
    <col min="6" max="8" width="12" style="1309"/>
    <col min="9" max="9" width="12.1640625" style="1309" bestFit="1" customWidth="1"/>
    <col min="10" max="10" width="12" style="1309"/>
    <col min="11" max="11" width="9.6640625" style="1306" customWidth="1"/>
    <col min="12" max="12" width="12" style="1309"/>
    <col min="13" max="14" width="10.6640625" style="1309" customWidth="1"/>
    <col min="15" max="17" width="12" style="1309"/>
    <col min="18" max="18" width="12" style="1308"/>
    <col min="19" max="22" width="15.5" style="1308" customWidth="1"/>
    <col min="23" max="28" width="12" style="1309"/>
    <col min="29" max="29" width="9.33203125" style="1308" customWidth="1"/>
    <col min="30" max="35" width="9.33203125" style="1307" customWidth="1"/>
    <col min="36" max="39" width="9.33203125" style="1308" customWidth="1"/>
    <col min="40" max="41" width="9.33203125" style="1309" customWidth="1"/>
    <col min="42" max="16384" width="12" style="1309"/>
  </cols>
  <sheetData>
    <row r="1" spans="1:39" ht="19">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6">
      <c r="A2" s="1310" t="s">
        <v>894</v>
      </c>
      <c r="B2" s="1007" t="e">
        <f>C26</f>
        <v>#DIV/0!</v>
      </c>
      <c r="C2" s="1311" t="s">
        <v>895</v>
      </c>
      <c r="D2" s="1312" t="s">
        <v>896</v>
      </c>
      <c r="E2" s="1313"/>
      <c r="F2" s="1312" t="s">
        <v>898</v>
      </c>
      <c r="G2" s="1535" t="str">
        <f>IF(E2="商业",项目基本情况!B43,IF(E2="办公",项目基本情况!C43,IF(E2="住宅",项目基本情况!D43,项目基本情况!E43)))</f>
        <v>六级</v>
      </c>
      <c r="H2" s="1312" t="s">
        <v>900</v>
      </c>
      <c r="I2" s="1536" t="str">
        <f>IF(E2="商业",项目基本情况!B44,IF(E2="办公",项目基本情况!C44,IF(E2="住宅",项目基本情况!D44,项目基本情况!E44)))</f>
        <v>Ⅵ-空港B</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6">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32">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7"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7"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30">
      <c r="A7" s="3714"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t="str">
        <f>G2</f>
        <v>六级</v>
      </c>
      <c r="Y7" s="2593" t="s">
        <v>2536</v>
      </c>
      <c r="Z7" s="2594">
        <f>G3</f>
        <v>0</v>
      </c>
      <c r="AA7" s="2025"/>
      <c r="AB7" s="2025"/>
      <c r="AC7" s="2026"/>
      <c r="AD7" s="2595"/>
      <c r="AE7" s="2595"/>
      <c r="AF7" s="2595"/>
      <c r="AG7" s="2595"/>
      <c r="AH7" s="2595"/>
      <c r="AI7" s="2595"/>
      <c r="AJ7" s="2596"/>
    </row>
    <row r="8" spans="1:39" ht="16">
      <c r="A8" s="3715"/>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01" t="s">
        <v>2553</v>
      </c>
      <c r="X8" s="3702"/>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6">
      <c r="A9" s="3715"/>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00"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6">
      <c r="A10" s="3715"/>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00"/>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15"/>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00"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31" thickBot="1">
      <c r="A12" s="3714"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00"/>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30">
      <c r="A13" s="3716"/>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00"/>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16"/>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17"/>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5" customHeight="1">
      <c r="A16" s="3714" t="s">
        <v>1633</v>
      </c>
      <c r="B16" s="1331" t="s">
        <v>924</v>
      </c>
      <c r="C16" s="1021" t="e">
        <f>ROUND(IF(F17="与级别开发程度一致",0,(G17-E17)/C17),0)</f>
        <v>#DIV/0!</v>
      </c>
      <c r="D16" s="3708" t="s">
        <v>928</v>
      </c>
      <c r="E16" s="3709"/>
      <c r="F16" s="3708" t="s">
        <v>925</v>
      </c>
      <c r="G16" s="3709"/>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6" thickBot="1">
      <c r="A17" s="3718"/>
      <c r="B17" s="2801" t="s">
        <v>927</v>
      </c>
      <c r="C17" s="2802">
        <f>SUMPRODUCT((修正!A2:A7=E2)*(修正!B1:M1=G2)*(修正!B2:M7))</f>
        <v>0</v>
      </c>
      <c r="D17" s="2803" t="str">
        <f>IF(OR(G2="八级",G2="九级",G2="十级",G2="十一级",G2="十二级"),"五通一平","七通一平")</f>
        <v>七通一平</v>
      </c>
      <c r="E17" s="2793">
        <f>SUMPRODUCT((修正!B1:M1=G2)*(修正!B17:M17))</f>
        <v>315</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7"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31"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44826</v>
      </c>
      <c r="H19" s="1371"/>
      <c r="I19" s="2452" t="str">
        <f>IF(H19="季度增幅（自定义）",SUMIF(N21:N24,E2,O21:O24),"")</f>
        <v/>
      </c>
      <c r="J19" s="1367"/>
      <c r="K19" s="3170"/>
      <c r="L19" s="2700" t="s">
        <v>2608</v>
      </c>
      <c r="M19" s="2701">
        <f>ROUND(SUMIF(地价!B2:F2,E2,地价!B41:F41),0)</f>
        <v>0</v>
      </c>
      <c r="N19" s="2454" t="s">
        <v>1471</v>
      </c>
      <c r="O19" s="2453">
        <f>ROUNDDOWN(DATEDIF(E19,G19,"M")/3,0)</f>
        <v>34</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31"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6">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9.7999999999999997E-3</v>
      </c>
      <c r="Q21" s="2591"/>
      <c r="R21" s="2028"/>
      <c r="S21" s="2028"/>
      <c r="T21" s="2028"/>
      <c r="U21" s="2028"/>
      <c r="V21" s="2028"/>
      <c r="W21" s="2028"/>
      <c r="X21" s="2028"/>
      <c r="Y21" s="1307"/>
      <c r="Z21" s="1307"/>
      <c r="AA21" s="1307"/>
      <c r="AB21" s="1307"/>
      <c r="AC21" s="1368"/>
      <c r="AD21" s="1368"/>
    </row>
    <row r="22" spans="1:40" s="1325" customFormat="1" ht="1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9.7999999999999997E-3</v>
      </c>
      <c r="Q22" s="2591"/>
      <c r="R22" s="2028"/>
      <c r="S22" s="2028"/>
      <c r="T22" s="2028"/>
      <c r="U22" s="2028"/>
      <c r="V22" s="2028"/>
      <c r="W22" s="2028"/>
      <c r="X22" s="2028"/>
      <c r="Y22" s="1368"/>
      <c r="Z22" s="1368"/>
      <c r="AA22" s="1368"/>
      <c r="AB22" s="1368"/>
      <c r="AC22" s="1368"/>
      <c r="AD22" s="1368"/>
    </row>
    <row r="23" spans="1:40" ht="16"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1.7299999999999999E-2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7"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1.15E-2</v>
      </c>
      <c r="Q24" s="2591"/>
      <c r="R24" s="2028"/>
      <c r="S24" s="2028"/>
      <c r="T24" s="2028"/>
      <c r="U24" s="2028"/>
      <c r="V24" s="2028"/>
      <c r="W24" s="2028"/>
      <c r="X24" s="2028"/>
      <c r="Y24" s="1368"/>
      <c r="Z24" s="1368"/>
      <c r="AA24" s="1368"/>
      <c r="AB24" s="1368"/>
      <c r="AC24" s="1368"/>
      <c r="AD24" s="1368"/>
    </row>
    <row r="25" spans="1:40" ht="17"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1.5699999999999999E-2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6"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6"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31"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ht="15">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30">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5">
      <c r="A33" s="3710"/>
      <c r="B33" s="1419" t="s">
        <v>973</v>
      </c>
      <c r="C33" s="1028" t="e">
        <f>ROUND(D5*C19*C20*C24*F33,0)</f>
        <v>#DIV/0!</v>
      </c>
      <c r="D33" s="1432"/>
      <c r="E33" s="1017" t="e">
        <f>ROUND(C33*D33/10000,0)</f>
        <v>#DIV/0!</v>
      </c>
      <c r="F33" s="1017">
        <f>SUMIF(修正!A57:A68,G2,修正!B57:B68)</f>
        <v>0.6</v>
      </c>
      <c r="G33" s="1017" t="e">
        <f t="shared" ref="G33" si="6">ROUND(IF(E2="工业",C33*$M$39,C33*$M$38),0)</f>
        <v>#DIV/0!</v>
      </c>
      <c r="H33" s="1017">
        <f>D33</f>
        <v>0</v>
      </c>
      <c r="I33" s="1017" t="e">
        <f>ROUND(G33*H33/10000,0)</f>
        <v>#DIV/0!</v>
      </c>
      <c r="J33" s="3710"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5">
      <c r="A34" s="3711"/>
      <c r="B34" s="1349" t="s">
        <v>974</v>
      </c>
      <c r="C34" s="1028" t="e">
        <f>ROUND(D5*C19*C20*C24*F34,0)</f>
        <v>#DIV/0!</v>
      </c>
      <c r="D34" s="1432"/>
      <c r="E34" s="1017" t="e">
        <f t="shared" ref="E34:E39" si="7">ROUND(C34*D34/10000,0)</f>
        <v>#DIV/0!</v>
      </c>
      <c r="F34" s="1017">
        <f>SUMIF(修正!A57:A68,G2,修正!C57:C68)</f>
        <v>0.3</v>
      </c>
      <c r="G34" s="1017" t="e">
        <f>ROUND(IF(E2="工业",C34*$M$39,C34*$M$38),0)</f>
        <v>#DIV/0!</v>
      </c>
      <c r="H34" s="1017">
        <f t="shared" ref="H34:H39" si="8">D34</f>
        <v>0</v>
      </c>
      <c r="I34" s="1017" t="e">
        <f t="shared" ref="I34:I39" si="9">ROUND(G34*H34/10000,0)</f>
        <v>#DIV/0!</v>
      </c>
      <c r="J34" s="3711"/>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5">
      <c r="A35" s="3711"/>
      <c r="B35" s="1349" t="s">
        <v>975</v>
      </c>
      <c r="C35" s="1028" t="e">
        <f>ROUND(D5*C19*C20*C24*F35,0)</f>
        <v>#DIV/0!</v>
      </c>
      <c r="D35" s="1432"/>
      <c r="E35" s="1017" t="e">
        <f t="shared" si="7"/>
        <v>#DIV/0!</v>
      </c>
      <c r="F35" s="1017">
        <f>SUMIF(修正!A57:A68,G2,修正!D57:D68)</f>
        <v>0.25</v>
      </c>
      <c r="G35" s="1017" t="e">
        <f>ROUND(IF(E2="工业",C35*$M$39,C35*$M$38),0)</f>
        <v>#DIV/0!</v>
      </c>
      <c r="H35" s="1017">
        <f t="shared" si="8"/>
        <v>0</v>
      </c>
      <c r="I35" s="1017" t="e">
        <f t="shared" si="9"/>
        <v>#DIV/0!</v>
      </c>
      <c r="J35" s="3711"/>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6" thickBot="1">
      <c r="A36" s="3712"/>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12"/>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5">
      <c r="A37" s="1418"/>
      <c r="B37" s="1349" t="s">
        <v>977</v>
      </c>
      <c r="C37" s="1017" t="e">
        <f>ROUND(D5*C19*C20*C24*F37,0)</f>
        <v>#DIV/0!</v>
      </c>
      <c r="D37" s="1432"/>
      <c r="E37" s="1017" t="e">
        <f t="shared" si="7"/>
        <v>#DIV/0!</v>
      </c>
      <c r="F37" s="1028">
        <f>SUMIF(修正!A57:A68,G2,修正!E57:E68)</f>
        <v>0.25</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5">
      <c r="A38" s="1418"/>
      <c r="B38" s="1349" t="s">
        <v>978</v>
      </c>
      <c r="C38" s="1017" t="e">
        <f>ROUND(D5*C19*C41*C24*F38,0)</f>
        <v>#DIV/0!</v>
      </c>
      <c r="D38" s="1432"/>
      <c r="E38" s="1017" t="e">
        <f t="shared" si="7"/>
        <v>#DIV/0!</v>
      </c>
      <c r="F38" s="1028">
        <f>SUMIF(修正!A57:A68,G2,修正!F57:F68)</f>
        <v>0.25</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6" thickBot="1">
      <c r="A39" s="1403"/>
      <c r="B39" s="1421" t="s">
        <v>979</v>
      </c>
      <c r="C39" s="1020" t="e">
        <f>ROUND(D5*C19*C41*C24*F39,0)</f>
        <v>#DIV/0!</v>
      </c>
      <c r="D39" s="1433"/>
      <c r="E39" s="1020" t="e">
        <f t="shared" si="7"/>
        <v>#DIV/0!</v>
      </c>
      <c r="F39" s="1030">
        <f>SUMIF(修正!A57:A68,G2,修正!G57:G68)</f>
        <v>0.15</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30">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45">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60">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30">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45">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30">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30">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30">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30">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31"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30">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45">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60">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30">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45">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30">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30">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30">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30">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31"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30">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60">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60">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30">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30">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30">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30">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30">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31"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30">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45">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60">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30">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30">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30">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30">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46"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19" t="s">
        <v>1429</v>
      </c>
      <c r="B90" s="3719"/>
      <c r="C90" s="3719"/>
      <c r="D90" s="3719"/>
      <c r="E90" s="3719"/>
      <c r="F90" s="3719"/>
      <c r="G90" s="3719"/>
      <c r="H90" s="3719"/>
      <c r="I90" s="3719"/>
      <c r="J90" s="3719"/>
      <c r="K90" s="2257"/>
      <c r="L90" s="2257"/>
      <c r="M90" s="2257"/>
      <c r="N90" s="2257"/>
    </row>
    <row r="91" spans="1:40">
      <c r="A91" s="3720" t="s">
        <v>1417</v>
      </c>
      <c r="B91" s="3720" t="s">
        <v>1430</v>
      </c>
      <c r="C91" s="1086" t="s">
        <v>1431</v>
      </c>
      <c r="D91" s="1087"/>
      <c r="E91" s="1087"/>
      <c r="F91" s="1087"/>
      <c r="G91" s="1087"/>
      <c r="H91" s="1087"/>
      <c r="I91" s="1087"/>
      <c r="J91" s="1088"/>
      <c r="K91" s="1080"/>
      <c r="L91" s="1080"/>
      <c r="M91" s="1080"/>
      <c r="N91" s="1080"/>
    </row>
    <row r="92" spans="1:40">
      <c r="A92" s="3720"/>
      <c r="B92" s="3720"/>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03"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4"/>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4"/>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4"/>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4"/>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4"/>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4"/>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05"/>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ht="15">
      <c r="A101" s="3703"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04"/>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04"/>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04"/>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04"/>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04"/>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04"/>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04"/>
      <c r="B108" s="3706"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05"/>
      <c r="B109" s="3707"/>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13" t="s">
        <v>1435</v>
      </c>
      <c r="B110" s="3713"/>
      <c r="C110" s="3713"/>
      <c r="D110" s="3713"/>
      <c r="E110" s="3713"/>
      <c r="F110" s="3713"/>
      <c r="G110" s="3713"/>
      <c r="H110" s="3713"/>
      <c r="I110" s="3713"/>
      <c r="J110" s="3713"/>
      <c r="K110" s="2255"/>
      <c r="L110" s="2255"/>
      <c r="M110" s="2255"/>
      <c r="N110" s="2255"/>
    </row>
    <row r="112" spans="1:14" ht="15" thickBot="1"/>
    <row r="113" spans="1:13" ht="29" thickBot="1">
      <c r="A113" s="985" t="s">
        <v>870</v>
      </c>
      <c r="B113" s="2258">
        <f>G3</f>
        <v>0</v>
      </c>
      <c r="C113" s="986" t="s">
        <v>871</v>
      </c>
      <c r="D113" s="987">
        <f>SUMPRODUCT((A115:A118=F113)*(B114:M114=H113)*B115:M118)</f>
        <v>0</v>
      </c>
      <c r="E113" s="988" t="s">
        <v>872</v>
      </c>
      <c r="F113" s="989">
        <f>E2</f>
        <v>0</v>
      </c>
      <c r="G113" s="988" t="s">
        <v>873</v>
      </c>
      <c r="H113" s="989" t="str">
        <f>G2</f>
        <v>六级</v>
      </c>
      <c r="I113" s="988"/>
      <c r="J113" s="980"/>
      <c r="K113" s="980"/>
      <c r="L113" s="980"/>
      <c r="M113" s="980"/>
    </row>
    <row r="114" spans="1:13" ht="1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baseColWidth="10" defaultColWidth="14.1640625" defaultRowHeight="14"/>
  <cols>
    <col min="1" max="1" width="14.1640625" style="1031"/>
    <col min="2" max="9" width="14.1640625" style="1070"/>
    <col min="10" max="16384" width="14.1640625" style="1031"/>
  </cols>
  <sheetData>
    <row r="1" spans="1:13" ht="1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5" thickBot="1">
      <c r="A7" s="3428" t="s">
        <v>2951</v>
      </c>
      <c r="B7" s="3429">
        <v>2.5</v>
      </c>
      <c r="C7" s="3429">
        <v>2.5</v>
      </c>
      <c r="D7" s="3429">
        <v>2</v>
      </c>
      <c r="E7" s="3429">
        <v>2</v>
      </c>
      <c r="F7" s="3429">
        <v>2</v>
      </c>
      <c r="G7" s="3429">
        <v>2</v>
      </c>
      <c r="H7" s="3429">
        <v>2</v>
      </c>
      <c r="I7" s="3430">
        <v>1.5</v>
      </c>
      <c r="J7" s="3430">
        <v>1.5</v>
      </c>
      <c r="K7" s="3430">
        <v>1.5</v>
      </c>
      <c r="L7" s="3430">
        <v>1.5</v>
      </c>
      <c r="M7" s="3431">
        <v>1.5</v>
      </c>
    </row>
    <row r="8" spans="1:13" ht="15">
      <c r="A8" s="1072" t="s">
        <v>1407</v>
      </c>
      <c r="B8" s="3432">
        <v>80</v>
      </c>
      <c r="C8" s="3432">
        <v>80</v>
      </c>
      <c r="D8" s="3432">
        <v>70</v>
      </c>
      <c r="E8" s="3432">
        <v>70</v>
      </c>
      <c r="F8" s="3432">
        <v>70</v>
      </c>
      <c r="G8" s="3432">
        <v>70</v>
      </c>
      <c r="H8" s="3432">
        <v>70</v>
      </c>
      <c r="I8" s="3432">
        <v>60</v>
      </c>
      <c r="J8" s="3432">
        <v>60</v>
      </c>
      <c r="K8" s="3432">
        <v>60</v>
      </c>
      <c r="L8" s="3432">
        <v>60</v>
      </c>
      <c r="M8" s="3433">
        <v>60</v>
      </c>
    </row>
    <row r="9" spans="1:13" ht="15">
      <c r="A9" s="1032" t="s">
        <v>1408</v>
      </c>
      <c r="B9" s="3434">
        <v>70</v>
      </c>
      <c r="C9" s="3434">
        <v>70</v>
      </c>
      <c r="D9" s="3434">
        <v>60</v>
      </c>
      <c r="E9" s="3434">
        <v>60</v>
      </c>
      <c r="F9" s="3434">
        <v>60</v>
      </c>
      <c r="G9" s="3434">
        <v>60</v>
      </c>
      <c r="H9" s="3434">
        <v>60</v>
      </c>
      <c r="I9" s="3434">
        <v>50</v>
      </c>
      <c r="J9" s="3434">
        <v>50</v>
      </c>
      <c r="K9" s="3434">
        <v>50</v>
      </c>
      <c r="L9" s="3434">
        <v>50</v>
      </c>
      <c r="M9" s="3435">
        <v>50</v>
      </c>
    </row>
    <row r="10" spans="1:13" ht="15">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ht="15">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ht="15">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ht="15">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ht="15">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ht="15">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ht="15">
      <c r="A16" s="1033" t="s">
        <v>1415</v>
      </c>
      <c r="B16" s="1074">
        <v>0</v>
      </c>
      <c r="C16" s="1074">
        <v>0</v>
      </c>
      <c r="D16" s="1074">
        <v>0</v>
      </c>
      <c r="E16" s="1074">
        <v>0</v>
      </c>
      <c r="F16" s="1074">
        <v>0</v>
      </c>
      <c r="G16" s="1074">
        <v>0</v>
      </c>
      <c r="H16" s="1074">
        <v>0</v>
      </c>
      <c r="I16" s="1074">
        <v>0</v>
      </c>
      <c r="J16" s="1074">
        <v>0</v>
      </c>
      <c r="K16" s="1074">
        <v>0</v>
      </c>
      <c r="L16" s="1074">
        <v>0</v>
      </c>
      <c r="M16" s="1074">
        <v>0</v>
      </c>
    </row>
    <row r="17" spans="1:13" ht="15">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6" thickBot="1">
      <c r="A19" s="3436" t="s">
        <v>2952</v>
      </c>
      <c r="B19" s="3438" t="s">
        <v>2953</v>
      </c>
      <c r="C19" s="3439" t="s">
        <v>2954</v>
      </c>
      <c r="D19" s="3440"/>
      <c r="E19" s="3434" t="s">
        <v>2955</v>
      </c>
      <c r="F19" s="1078"/>
      <c r="G19" s="1078"/>
    </row>
    <row r="20" spans="1:13" s="1485" customFormat="1">
      <c r="A20" s="3724" t="s">
        <v>2946</v>
      </c>
      <c r="B20" s="3727" t="s">
        <v>2956</v>
      </c>
      <c r="C20" s="3441" t="s">
        <v>2957</v>
      </c>
      <c r="D20" s="3442"/>
      <c r="E20" s="3443">
        <v>1</v>
      </c>
      <c r="F20" s="3444" t="s">
        <v>2958</v>
      </c>
      <c r="G20" s="1080"/>
      <c r="H20" s="1070"/>
      <c r="I20" s="1070"/>
    </row>
    <row r="21" spans="1:13" s="1485" customFormat="1">
      <c r="A21" s="3725"/>
      <c r="B21" s="3728"/>
      <c r="C21" s="3445" t="s">
        <v>2959</v>
      </c>
      <c r="D21" s="3446"/>
      <c r="E21" s="3447">
        <v>1</v>
      </c>
      <c r="F21" s="3444" t="s">
        <v>2960</v>
      </c>
      <c r="G21" s="1080"/>
      <c r="H21" s="1070"/>
      <c r="I21" s="1070"/>
    </row>
    <row r="22" spans="1:13" s="1485" customFormat="1">
      <c r="A22" s="3725"/>
      <c r="B22" s="3728"/>
      <c r="C22" s="3445" t="s">
        <v>2961</v>
      </c>
      <c r="D22" s="3446"/>
      <c r="E22" s="3447">
        <v>0.9</v>
      </c>
      <c r="F22" s="3444" t="s">
        <v>2962</v>
      </c>
      <c r="G22" s="1080"/>
      <c r="H22" s="1070"/>
      <c r="I22" s="1070"/>
    </row>
    <row r="23" spans="1:13" s="1485" customFormat="1">
      <c r="A23" s="3725"/>
      <c r="B23" s="3728"/>
      <c r="C23" s="3445" t="s">
        <v>2963</v>
      </c>
      <c r="D23" s="3446"/>
      <c r="E23" s="3447">
        <v>0.9</v>
      </c>
      <c r="F23" s="3444" t="s">
        <v>2964</v>
      </c>
      <c r="G23" s="1080"/>
      <c r="H23" s="1070"/>
      <c r="I23" s="1070"/>
    </row>
    <row r="24" spans="1:13" s="1485" customFormat="1">
      <c r="A24" s="3725"/>
      <c r="B24" s="3728"/>
      <c r="C24" s="3445" t="s">
        <v>2965</v>
      </c>
      <c r="D24" s="3446"/>
      <c r="E24" s="3447">
        <v>0.8</v>
      </c>
      <c r="F24" s="3444" t="s">
        <v>2966</v>
      </c>
      <c r="G24" s="1080"/>
      <c r="H24" s="1070"/>
      <c r="I24" s="1070"/>
    </row>
    <row r="25" spans="1:13" s="1485" customFormat="1" ht="15" thickBot="1">
      <c r="A25" s="3726"/>
      <c r="B25" s="3729"/>
      <c r="C25" s="3448" t="s">
        <v>2967</v>
      </c>
      <c r="D25" s="3449"/>
      <c r="E25" s="3450">
        <v>0.8</v>
      </c>
      <c r="F25" s="3444" t="s">
        <v>2968</v>
      </c>
      <c r="G25" s="1080"/>
      <c r="H25" s="1070"/>
      <c r="I25" s="1070"/>
    </row>
    <row r="26" spans="1:13" s="1485" customFormat="1" ht="15" thickBot="1">
      <c r="A26" s="3451" t="s">
        <v>2947</v>
      </c>
      <c r="B26" s="3452" t="s">
        <v>2956</v>
      </c>
      <c r="C26" s="3453" t="s">
        <v>2969</v>
      </c>
      <c r="D26" s="3454"/>
      <c r="E26" s="3455">
        <v>1</v>
      </c>
      <c r="F26" s="3444" t="s">
        <v>2970</v>
      </c>
      <c r="G26" s="1080"/>
      <c r="H26" s="1070"/>
      <c r="I26" s="1070"/>
    </row>
    <row r="27" spans="1:13" s="1485" customFormat="1">
      <c r="A27" s="3730" t="s">
        <v>2951</v>
      </c>
      <c r="B27" s="3727" t="s">
        <v>2951</v>
      </c>
      <c r="C27" s="3441" t="s">
        <v>2971</v>
      </c>
      <c r="D27" s="3442"/>
      <c r="E27" s="3443">
        <v>1</v>
      </c>
      <c r="F27" s="3444" t="s">
        <v>2972</v>
      </c>
      <c r="G27" s="1080"/>
      <c r="H27" s="1070"/>
      <c r="I27" s="1070"/>
    </row>
    <row r="28" spans="1:13" s="1485" customFormat="1">
      <c r="A28" s="3731"/>
      <c r="B28" s="3728"/>
      <c r="C28" s="3445" t="s">
        <v>2973</v>
      </c>
      <c r="D28" s="3446"/>
      <c r="E28" s="3447">
        <v>1</v>
      </c>
      <c r="F28" s="3444" t="s">
        <v>2974</v>
      </c>
      <c r="G28" s="1080"/>
      <c r="H28" s="1070"/>
      <c r="I28" s="1070"/>
    </row>
    <row r="29" spans="1:13" s="1485" customFormat="1">
      <c r="A29" s="3731"/>
      <c r="B29" s="3728"/>
      <c r="C29" s="3445" t="s">
        <v>2975</v>
      </c>
      <c r="D29" s="3446"/>
      <c r="E29" s="3447">
        <v>0.8</v>
      </c>
      <c r="F29" s="3444" t="s">
        <v>2976</v>
      </c>
      <c r="G29" s="1080"/>
      <c r="H29" s="1070"/>
      <c r="I29" s="1070"/>
    </row>
    <row r="30" spans="1:13" s="1485" customFormat="1">
      <c r="A30" s="3731"/>
      <c r="B30" s="3728"/>
      <c r="C30" s="3445" t="s">
        <v>2977</v>
      </c>
      <c r="D30" s="3446"/>
      <c r="E30" s="3447">
        <v>0.8</v>
      </c>
      <c r="F30" s="3444" t="s">
        <v>2978</v>
      </c>
      <c r="G30" s="1080"/>
      <c r="H30" s="1070"/>
      <c r="I30" s="1070"/>
    </row>
    <row r="31" spans="1:13" s="1485" customFormat="1">
      <c r="A31" s="3731"/>
      <c r="B31" s="3728"/>
      <c r="C31" s="3445" t="s">
        <v>2979</v>
      </c>
      <c r="D31" s="3446"/>
      <c r="E31" s="3447">
        <v>0.8</v>
      </c>
      <c r="F31" s="3444" t="s">
        <v>2980</v>
      </c>
      <c r="G31" s="1080"/>
      <c r="H31" s="1070"/>
      <c r="I31" s="1070"/>
    </row>
    <row r="32" spans="1:13" s="1485" customFormat="1">
      <c r="A32" s="3731"/>
      <c r="B32" s="3728"/>
      <c r="C32" s="3445" t="s">
        <v>2981</v>
      </c>
      <c r="D32" s="3446"/>
      <c r="E32" s="3447">
        <v>0.7</v>
      </c>
      <c r="F32" s="3444" t="s">
        <v>2982</v>
      </c>
      <c r="G32" s="1080"/>
      <c r="H32" s="1070"/>
      <c r="I32" s="1070"/>
    </row>
    <row r="33" spans="1:9" s="1485" customFormat="1">
      <c r="A33" s="3731"/>
      <c r="B33" s="3728"/>
      <c r="C33" s="3445" t="s">
        <v>2983</v>
      </c>
      <c r="D33" s="3446"/>
      <c r="E33" s="3447">
        <v>0.8</v>
      </c>
      <c r="F33" s="3444" t="s">
        <v>2984</v>
      </c>
      <c r="G33" s="1080"/>
      <c r="H33" s="1070"/>
      <c r="I33" s="1070"/>
    </row>
    <row r="34" spans="1:9" s="1485" customFormat="1">
      <c r="A34" s="3731"/>
      <c r="B34" s="3728"/>
      <c r="C34" s="3445" t="s">
        <v>2985</v>
      </c>
      <c r="D34" s="3446"/>
      <c r="E34" s="3447">
        <v>0.6</v>
      </c>
      <c r="F34" s="3444" t="s">
        <v>2986</v>
      </c>
      <c r="G34" s="1080"/>
      <c r="H34" s="1070"/>
      <c r="I34" s="1070"/>
    </row>
    <row r="35" spans="1:9" s="1485" customFormat="1">
      <c r="A35" s="3731"/>
      <c r="B35" s="3728"/>
      <c r="C35" s="3445" t="s">
        <v>2987</v>
      </c>
      <c r="D35" s="3446"/>
      <c r="E35" s="3447">
        <v>0.2</v>
      </c>
      <c r="F35" s="3444" t="s">
        <v>2988</v>
      </c>
      <c r="G35" s="1080"/>
      <c r="H35" s="1070"/>
      <c r="I35" s="1070"/>
    </row>
    <row r="36" spans="1:9" s="1485" customFormat="1">
      <c r="A36" s="3731"/>
      <c r="B36" s="3728"/>
      <c r="C36" s="3445" t="s">
        <v>2989</v>
      </c>
      <c r="D36" s="3446"/>
      <c r="E36" s="3447">
        <v>0.2</v>
      </c>
      <c r="F36" s="3444" t="s">
        <v>2990</v>
      </c>
      <c r="G36" s="1080"/>
      <c r="H36" s="1070"/>
      <c r="I36" s="1070"/>
    </row>
    <row r="37" spans="1:9" s="1485" customFormat="1">
      <c r="A37" s="3731"/>
      <c r="B37" s="3722" t="s">
        <v>2991</v>
      </c>
      <c r="C37" s="3445" t="s">
        <v>2992</v>
      </c>
      <c r="D37" s="3446"/>
      <c r="E37" s="3447">
        <v>0.6</v>
      </c>
      <c r="F37" s="3444" t="s">
        <v>2993</v>
      </c>
      <c r="G37" s="1080"/>
      <c r="H37" s="1070"/>
      <c r="I37" s="1070"/>
    </row>
    <row r="38" spans="1:9" s="1485" customFormat="1">
      <c r="A38" s="3731"/>
      <c r="B38" s="3728"/>
      <c r="C38" s="3445" t="s">
        <v>2994</v>
      </c>
      <c r="D38" s="3446"/>
      <c r="E38" s="3447">
        <v>0.6</v>
      </c>
      <c r="F38" s="3444" t="s">
        <v>2995</v>
      </c>
      <c r="G38" s="1080"/>
      <c r="H38" s="1070"/>
      <c r="I38" s="1070"/>
    </row>
    <row r="39" spans="1:9" s="1485" customFormat="1" ht="15" thickBot="1">
      <c r="A39" s="3732"/>
      <c r="B39" s="3729"/>
      <c r="C39" s="3448" t="s">
        <v>2996</v>
      </c>
      <c r="D39" s="3449"/>
      <c r="E39" s="3450">
        <v>0.6</v>
      </c>
      <c r="F39" s="3444" t="s">
        <v>2997</v>
      </c>
      <c r="G39" s="1080"/>
      <c r="H39" s="1070"/>
      <c r="I39" s="1070"/>
    </row>
    <row r="40" spans="1:9" s="1485" customFormat="1" ht="15" thickBot="1">
      <c r="A40" s="3451" t="s">
        <v>2948</v>
      </c>
      <c r="B40" s="3452" t="s">
        <v>2948</v>
      </c>
      <c r="C40" s="3453" t="s">
        <v>2998</v>
      </c>
      <c r="D40" s="3454"/>
      <c r="E40" s="3455">
        <v>1</v>
      </c>
      <c r="F40" s="3444" t="s">
        <v>2999</v>
      </c>
      <c r="G40" s="1080"/>
      <c r="H40" s="1070"/>
      <c r="I40" s="1070"/>
    </row>
    <row r="41" spans="1:9" s="1485" customFormat="1">
      <c r="A41" s="3724" t="s">
        <v>2949</v>
      </c>
      <c r="B41" s="3727" t="s">
        <v>3000</v>
      </c>
      <c r="C41" s="3441" t="s">
        <v>3001</v>
      </c>
      <c r="D41" s="3442"/>
      <c r="E41" s="3443">
        <v>1</v>
      </c>
      <c r="F41" s="3444" t="s">
        <v>3002</v>
      </c>
      <c r="G41" s="1080"/>
      <c r="H41" s="1070"/>
      <c r="I41" s="1070"/>
    </row>
    <row r="42" spans="1:9" s="1485" customFormat="1">
      <c r="A42" s="3725"/>
      <c r="B42" s="3728"/>
      <c r="C42" s="3445" t="s">
        <v>3003</v>
      </c>
      <c r="D42" s="3446"/>
      <c r="E42" s="3447">
        <v>1</v>
      </c>
      <c r="F42" s="3444" t="s">
        <v>3004</v>
      </c>
      <c r="G42" s="1080"/>
      <c r="H42" s="1070"/>
      <c r="I42" s="1070"/>
    </row>
    <row r="43" spans="1:9" s="1485" customFormat="1">
      <c r="A43" s="3725"/>
      <c r="B43" s="3723"/>
      <c r="C43" s="3445" t="s">
        <v>3005</v>
      </c>
      <c r="D43" s="3446"/>
      <c r="E43" s="3447">
        <v>1.5</v>
      </c>
      <c r="F43" s="3444" t="s">
        <v>3006</v>
      </c>
      <c r="G43" s="1080"/>
      <c r="H43" s="1070"/>
      <c r="I43" s="1070"/>
    </row>
    <row r="44" spans="1:9" s="1485" customFormat="1">
      <c r="A44" s="3725"/>
      <c r="B44" s="3456" t="s">
        <v>2951</v>
      </c>
      <c r="C44" s="3445" t="s">
        <v>2950</v>
      </c>
      <c r="D44" s="3446"/>
      <c r="E44" s="3447">
        <v>2</v>
      </c>
      <c r="F44" s="3444" t="s">
        <v>3007</v>
      </c>
      <c r="G44" s="1080"/>
      <c r="H44" s="1070"/>
      <c r="I44" s="1070"/>
    </row>
    <row r="45" spans="1:9" s="1485" customFormat="1">
      <c r="A45" s="3725"/>
      <c r="B45" s="3722" t="s">
        <v>3008</v>
      </c>
      <c r="C45" s="3445" t="s">
        <v>3009</v>
      </c>
      <c r="D45" s="3446"/>
      <c r="E45" s="3447">
        <v>1</v>
      </c>
      <c r="F45" s="3444" t="s">
        <v>3010</v>
      </c>
      <c r="G45" s="1080"/>
      <c r="H45" s="1070"/>
      <c r="I45" s="1070"/>
    </row>
    <row r="46" spans="1:9" s="1485" customFormat="1">
      <c r="A46" s="3725"/>
      <c r="B46" s="3728"/>
      <c r="C46" s="3445" t="s">
        <v>3011</v>
      </c>
      <c r="D46" s="3446"/>
      <c r="E46" s="3447">
        <v>1</v>
      </c>
      <c r="F46" s="3444" t="s">
        <v>3012</v>
      </c>
      <c r="G46" s="1080"/>
      <c r="H46" s="1070"/>
      <c r="I46" s="1070"/>
    </row>
    <row r="47" spans="1:9" s="1485" customFormat="1">
      <c r="A47" s="3725"/>
      <c r="B47" s="3728"/>
      <c r="C47" s="3445" t="s">
        <v>3013</v>
      </c>
      <c r="D47" s="3446"/>
      <c r="E47" s="3447">
        <v>1</v>
      </c>
      <c r="F47" s="3444" t="s">
        <v>3014</v>
      </c>
      <c r="G47" s="1080"/>
      <c r="H47" s="1070"/>
      <c r="I47" s="1070"/>
    </row>
    <row r="48" spans="1:9" s="1485" customFormat="1">
      <c r="A48" s="3725"/>
      <c r="B48" s="3728"/>
      <c r="C48" s="3445" t="s">
        <v>3015</v>
      </c>
      <c r="D48" s="3446"/>
      <c r="E48" s="3447">
        <v>1</v>
      </c>
      <c r="F48" s="3444" t="s">
        <v>3016</v>
      </c>
      <c r="G48" s="1080"/>
      <c r="H48" s="1070"/>
      <c r="I48" s="1070"/>
    </row>
    <row r="49" spans="1:9" s="1485" customFormat="1">
      <c r="A49" s="3725"/>
      <c r="B49" s="3728"/>
      <c r="C49" s="3445" t="s">
        <v>3017</v>
      </c>
      <c r="D49" s="3446"/>
      <c r="E49" s="3447">
        <v>1</v>
      </c>
      <c r="F49" s="3444" t="s">
        <v>3018</v>
      </c>
      <c r="G49" s="1080"/>
      <c r="H49" s="1070"/>
      <c r="I49" s="1070"/>
    </row>
    <row r="50" spans="1:9" s="1485" customFormat="1">
      <c r="A50" s="3725"/>
      <c r="B50" s="3728"/>
      <c r="C50" s="3445" t="s">
        <v>3019</v>
      </c>
      <c r="D50" s="3446"/>
      <c r="E50" s="3447">
        <v>1</v>
      </c>
      <c r="F50" s="3444" t="s">
        <v>3020</v>
      </c>
      <c r="G50" s="1080"/>
      <c r="H50" s="1070"/>
      <c r="I50" s="1070"/>
    </row>
    <row r="51" spans="1:9" s="1485" customFormat="1" ht="15" thickBot="1">
      <c r="A51" s="3726"/>
      <c r="B51" s="3729"/>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ht="15">
      <c r="A54" s="1081"/>
      <c r="B54" s="1033" t="s">
        <v>1418</v>
      </c>
      <c r="C54" s="1033" t="s">
        <v>1418</v>
      </c>
      <c r="D54" s="1033" t="s">
        <v>1418</v>
      </c>
      <c r="E54" s="1099" t="s">
        <v>1418</v>
      </c>
      <c r="F54" s="1099" t="s">
        <v>1419</v>
      </c>
      <c r="G54" s="1099" t="s">
        <v>1418</v>
      </c>
      <c r="I54" s="1031"/>
    </row>
    <row r="55" spans="1:9" ht="15">
      <c r="A55" s="1082"/>
      <c r="B55" s="1099" t="s">
        <v>981</v>
      </c>
      <c r="C55" s="1099" t="s">
        <v>981</v>
      </c>
      <c r="D55" s="1099" t="s">
        <v>981</v>
      </c>
      <c r="E55" s="1033" t="s">
        <v>1003</v>
      </c>
      <c r="F55" s="1033" t="s">
        <v>1406</v>
      </c>
      <c r="G55" s="1033" t="s">
        <v>1420</v>
      </c>
      <c r="I55" s="1031"/>
    </row>
    <row r="56" spans="1:9" ht="15">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ht="15">
      <c r="A73" s="3456">
        <v>1</v>
      </c>
      <c r="B73" s="3722" t="s">
        <v>3024</v>
      </c>
      <c r="C73" s="3434" t="s">
        <v>3025</v>
      </c>
      <c r="D73" s="3434" t="s">
        <v>3026</v>
      </c>
      <c r="E73" s="3457">
        <v>0.2</v>
      </c>
      <c r="F73" s="3456">
        <v>25</v>
      </c>
      <c r="H73" s="1070">
        <f>SUMIF(C71:C139,基准地价!C8,E71:E139)</f>
        <v>0</v>
      </c>
    </row>
    <row r="74" spans="1:8" s="1070" customFormat="1" ht="30">
      <c r="A74" s="3456">
        <v>2</v>
      </c>
      <c r="B74" s="3728"/>
      <c r="C74" s="3434" t="s">
        <v>3027</v>
      </c>
      <c r="D74" s="3434" t="s">
        <v>3028</v>
      </c>
      <c r="E74" s="3457">
        <v>0.2</v>
      </c>
      <c r="F74" s="3456">
        <v>25</v>
      </c>
    </row>
    <row r="75" spans="1:8" s="1070" customFormat="1" ht="30">
      <c r="A75" s="3456">
        <v>3</v>
      </c>
      <c r="B75" s="3728"/>
      <c r="C75" s="3434" t="s">
        <v>3029</v>
      </c>
      <c r="D75" s="3434" t="s">
        <v>3030</v>
      </c>
      <c r="E75" s="3457">
        <v>0.2</v>
      </c>
      <c r="F75" s="3456">
        <v>25</v>
      </c>
    </row>
    <row r="76" spans="1:8" s="1070" customFormat="1" ht="15">
      <c r="A76" s="3456">
        <v>4</v>
      </c>
      <c r="B76" s="3728"/>
      <c r="C76" s="3434" t="s">
        <v>3031</v>
      </c>
      <c r="D76" s="3434" t="s">
        <v>3032</v>
      </c>
      <c r="E76" s="3457">
        <v>0.15</v>
      </c>
      <c r="F76" s="3456">
        <v>20</v>
      </c>
    </row>
    <row r="77" spans="1:8" s="1070" customFormat="1" ht="30">
      <c r="A77" s="3456">
        <v>5</v>
      </c>
      <c r="B77" s="3728"/>
      <c r="C77" s="3434" t="s">
        <v>3033</v>
      </c>
      <c r="D77" s="3434" t="s">
        <v>3034</v>
      </c>
      <c r="E77" s="3457">
        <v>0.15</v>
      </c>
      <c r="F77" s="3456">
        <v>20</v>
      </c>
    </row>
    <row r="78" spans="1:8" s="1070" customFormat="1" ht="30">
      <c r="A78" s="3456">
        <v>6</v>
      </c>
      <c r="B78" s="3728"/>
      <c r="C78" s="3434" t="s">
        <v>3035</v>
      </c>
      <c r="D78" s="3434" t="s">
        <v>3036</v>
      </c>
      <c r="E78" s="3457">
        <v>0.15</v>
      </c>
      <c r="F78" s="3456">
        <v>20</v>
      </c>
    </row>
    <row r="79" spans="1:8" s="1070" customFormat="1" ht="30">
      <c r="A79" s="3456">
        <v>7</v>
      </c>
      <c r="B79" s="3728"/>
      <c r="C79" s="3434" t="s">
        <v>3037</v>
      </c>
      <c r="D79" s="3434" t="s">
        <v>3038</v>
      </c>
      <c r="E79" s="3457">
        <v>0.15</v>
      </c>
      <c r="F79" s="3456">
        <v>20</v>
      </c>
    </row>
    <row r="80" spans="1:8" s="1070" customFormat="1" ht="30">
      <c r="A80" s="3456">
        <v>8</v>
      </c>
      <c r="B80" s="3728"/>
      <c r="C80" s="3434" t="s">
        <v>3039</v>
      </c>
      <c r="D80" s="3434" t="s">
        <v>3040</v>
      </c>
      <c r="E80" s="3457">
        <v>0.1</v>
      </c>
      <c r="F80" s="3456">
        <v>15</v>
      </c>
    </row>
    <row r="81" spans="1:6" s="1070" customFormat="1" ht="30">
      <c r="A81" s="3456">
        <v>9</v>
      </c>
      <c r="B81" s="3728"/>
      <c r="C81" s="3434" t="s">
        <v>3041</v>
      </c>
      <c r="D81" s="3434" t="s">
        <v>3042</v>
      </c>
      <c r="E81" s="3457">
        <v>0.1</v>
      </c>
      <c r="F81" s="3456">
        <v>15</v>
      </c>
    </row>
    <row r="82" spans="1:6" s="1070" customFormat="1" ht="30">
      <c r="A82" s="3456">
        <v>10</v>
      </c>
      <c r="B82" s="3728"/>
      <c r="C82" s="3434" t="s">
        <v>3043</v>
      </c>
      <c r="D82" s="3434" t="s">
        <v>3044</v>
      </c>
      <c r="E82" s="3457">
        <v>0.1</v>
      </c>
      <c r="F82" s="3456">
        <v>15</v>
      </c>
    </row>
    <row r="83" spans="1:6" s="1070" customFormat="1" ht="30">
      <c r="A83" s="3456">
        <v>11</v>
      </c>
      <c r="B83" s="3728"/>
      <c r="C83" s="3434" t="s">
        <v>3045</v>
      </c>
      <c r="D83" s="3434" t="s">
        <v>3046</v>
      </c>
      <c r="E83" s="3457">
        <v>0.1</v>
      </c>
      <c r="F83" s="3456">
        <v>15</v>
      </c>
    </row>
    <row r="84" spans="1:6" s="1070" customFormat="1" ht="30">
      <c r="A84" s="3456">
        <v>12</v>
      </c>
      <c r="B84" s="3728"/>
      <c r="C84" s="3434" t="s">
        <v>3047</v>
      </c>
      <c r="D84" s="3434" t="s">
        <v>3048</v>
      </c>
      <c r="E84" s="3457">
        <v>0.1</v>
      </c>
      <c r="F84" s="3456">
        <v>15</v>
      </c>
    </row>
    <row r="85" spans="1:6" s="1070" customFormat="1" ht="15">
      <c r="A85" s="3456">
        <v>13</v>
      </c>
      <c r="B85" s="3728"/>
      <c r="C85" s="3434" t="s">
        <v>3049</v>
      </c>
      <c r="D85" s="3434" t="s">
        <v>3050</v>
      </c>
      <c r="E85" s="3457">
        <v>0.1</v>
      </c>
      <c r="F85" s="3456">
        <v>15</v>
      </c>
    </row>
    <row r="86" spans="1:6" s="1070" customFormat="1" ht="15">
      <c r="A86" s="3456">
        <v>14</v>
      </c>
      <c r="B86" s="3728"/>
      <c r="C86" s="3434" t="s">
        <v>3051</v>
      </c>
      <c r="D86" s="3434" t="s">
        <v>3052</v>
      </c>
      <c r="E86" s="3457">
        <v>0.1</v>
      </c>
      <c r="F86" s="3456">
        <v>15</v>
      </c>
    </row>
    <row r="87" spans="1:6" s="1070" customFormat="1" ht="15">
      <c r="A87" s="3456">
        <v>15</v>
      </c>
      <c r="B87" s="3728"/>
      <c r="C87" s="3434" t="s">
        <v>3053</v>
      </c>
      <c r="D87" s="3434" t="s">
        <v>3054</v>
      </c>
      <c r="E87" s="3457">
        <v>0.1</v>
      </c>
      <c r="F87" s="3456">
        <v>15</v>
      </c>
    </row>
    <row r="88" spans="1:6" s="1070" customFormat="1" ht="30">
      <c r="A88" s="3456">
        <v>16</v>
      </c>
      <c r="B88" s="3728"/>
      <c r="C88" s="3434" t="s">
        <v>3055</v>
      </c>
      <c r="D88" s="3434" t="s">
        <v>3056</v>
      </c>
      <c r="E88" s="3457">
        <v>0.1</v>
      </c>
      <c r="F88" s="3456">
        <v>15</v>
      </c>
    </row>
    <row r="89" spans="1:6" s="1070" customFormat="1" ht="30">
      <c r="A89" s="3456">
        <v>17</v>
      </c>
      <c r="B89" s="3723"/>
      <c r="C89" s="3434" t="s">
        <v>3057</v>
      </c>
      <c r="D89" s="3434" t="s">
        <v>3058</v>
      </c>
      <c r="E89" s="3457">
        <v>0.1</v>
      </c>
      <c r="F89" s="3456">
        <v>15</v>
      </c>
    </row>
    <row r="90" spans="1:6" s="1070" customFormat="1" ht="15">
      <c r="A90" s="3456">
        <v>18</v>
      </c>
      <c r="B90" s="3722" t="s">
        <v>3059</v>
      </c>
      <c r="C90" s="3434" t="s">
        <v>3060</v>
      </c>
      <c r="D90" s="3434" t="s">
        <v>3061</v>
      </c>
      <c r="E90" s="3457">
        <v>0.2</v>
      </c>
      <c r="F90" s="3456">
        <v>25</v>
      </c>
    </row>
    <row r="91" spans="1:6" s="1070" customFormat="1" ht="30">
      <c r="A91" s="3456">
        <v>19</v>
      </c>
      <c r="B91" s="3728"/>
      <c r="C91" s="3434" t="s">
        <v>3062</v>
      </c>
      <c r="D91" s="3434" t="s">
        <v>3063</v>
      </c>
      <c r="E91" s="3457">
        <v>0.2</v>
      </c>
      <c r="F91" s="3456">
        <v>25</v>
      </c>
    </row>
    <row r="92" spans="1:6" s="1070" customFormat="1" ht="15">
      <c r="A92" s="3456">
        <v>20</v>
      </c>
      <c r="B92" s="3728"/>
      <c r="C92" s="3434" t="s">
        <v>3064</v>
      </c>
      <c r="D92" s="3434" t="s">
        <v>3065</v>
      </c>
      <c r="E92" s="3457">
        <v>0.15</v>
      </c>
      <c r="F92" s="3456">
        <v>20</v>
      </c>
    </row>
    <row r="93" spans="1:6" s="1070" customFormat="1" ht="30">
      <c r="A93" s="3456">
        <v>21</v>
      </c>
      <c r="B93" s="3728"/>
      <c r="C93" s="3434" t="s">
        <v>3066</v>
      </c>
      <c r="D93" s="3434" t="s">
        <v>3067</v>
      </c>
      <c r="E93" s="3457">
        <v>0.15</v>
      </c>
      <c r="F93" s="3456">
        <v>20</v>
      </c>
    </row>
    <row r="94" spans="1:6" s="1070" customFormat="1" ht="30">
      <c r="A94" s="3456">
        <v>22</v>
      </c>
      <c r="B94" s="3728"/>
      <c r="C94" s="3434" t="s">
        <v>3068</v>
      </c>
      <c r="D94" s="3434" t="s">
        <v>3069</v>
      </c>
      <c r="E94" s="3457">
        <v>0.15</v>
      </c>
      <c r="F94" s="3456">
        <v>20</v>
      </c>
    </row>
    <row r="95" spans="1:6" s="1070" customFormat="1" ht="45">
      <c r="A95" s="3456">
        <v>23</v>
      </c>
      <c r="B95" s="3728"/>
      <c r="C95" s="3434" t="s">
        <v>3070</v>
      </c>
      <c r="D95" s="3434" t="s">
        <v>3071</v>
      </c>
      <c r="E95" s="3457">
        <v>0.15</v>
      </c>
      <c r="F95" s="3456">
        <v>20</v>
      </c>
    </row>
    <row r="96" spans="1:6" s="1070" customFormat="1" ht="15">
      <c r="A96" s="3456">
        <v>24</v>
      </c>
      <c r="B96" s="3728"/>
      <c r="C96" s="3434" t="s">
        <v>3072</v>
      </c>
      <c r="D96" s="3434" t="s">
        <v>3073</v>
      </c>
      <c r="E96" s="3457">
        <v>0.1</v>
      </c>
      <c r="F96" s="3456">
        <v>15</v>
      </c>
    </row>
    <row r="97" spans="1:6" s="1070" customFormat="1" ht="30">
      <c r="A97" s="3456">
        <v>25</v>
      </c>
      <c r="B97" s="3728"/>
      <c r="C97" s="3434" t="s">
        <v>3074</v>
      </c>
      <c r="D97" s="3434" t="s">
        <v>3075</v>
      </c>
      <c r="E97" s="3457">
        <v>0.1</v>
      </c>
      <c r="F97" s="3456">
        <v>15</v>
      </c>
    </row>
    <row r="98" spans="1:6" s="1070" customFormat="1" ht="30">
      <c r="A98" s="3456">
        <v>26</v>
      </c>
      <c r="B98" s="3728"/>
      <c r="C98" s="3434" t="s">
        <v>3076</v>
      </c>
      <c r="D98" s="3434" t="s">
        <v>3077</v>
      </c>
      <c r="E98" s="3457">
        <v>0.1</v>
      </c>
      <c r="F98" s="3456">
        <v>15</v>
      </c>
    </row>
    <row r="99" spans="1:6" s="1070" customFormat="1" ht="30">
      <c r="A99" s="3456">
        <v>27</v>
      </c>
      <c r="B99" s="3728"/>
      <c r="C99" s="3434" t="s">
        <v>3078</v>
      </c>
      <c r="D99" s="3434" t="s">
        <v>3079</v>
      </c>
      <c r="E99" s="3457">
        <v>0.1</v>
      </c>
      <c r="F99" s="3456">
        <v>15</v>
      </c>
    </row>
    <row r="100" spans="1:6" s="1070" customFormat="1" ht="30">
      <c r="A100" s="3456">
        <v>28</v>
      </c>
      <c r="B100" s="3728"/>
      <c r="C100" s="3434" t="s">
        <v>3080</v>
      </c>
      <c r="D100" s="3434" t="s">
        <v>3081</v>
      </c>
      <c r="E100" s="3457">
        <v>0.1</v>
      </c>
      <c r="F100" s="3456">
        <v>15</v>
      </c>
    </row>
    <row r="101" spans="1:6" s="1070" customFormat="1" ht="30">
      <c r="A101" s="3456">
        <v>29</v>
      </c>
      <c r="B101" s="3728"/>
      <c r="C101" s="3434" t="s">
        <v>3082</v>
      </c>
      <c r="D101" s="3434" t="s">
        <v>3083</v>
      </c>
      <c r="E101" s="3457">
        <v>0.1</v>
      </c>
      <c r="F101" s="3456">
        <v>15</v>
      </c>
    </row>
    <row r="102" spans="1:6" s="1070" customFormat="1" ht="30">
      <c r="A102" s="3456">
        <v>30</v>
      </c>
      <c r="B102" s="3728"/>
      <c r="C102" s="3434" t="s">
        <v>3084</v>
      </c>
      <c r="D102" s="3434" t="s">
        <v>3085</v>
      </c>
      <c r="E102" s="3457">
        <v>0.1</v>
      </c>
      <c r="F102" s="3456">
        <v>15</v>
      </c>
    </row>
    <row r="103" spans="1:6" s="1070" customFormat="1" ht="30">
      <c r="A103" s="3456">
        <v>31</v>
      </c>
      <c r="B103" s="3728"/>
      <c r="C103" s="3434" t="s">
        <v>3086</v>
      </c>
      <c r="D103" s="3434" t="s">
        <v>3087</v>
      </c>
      <c r="E103" s="3457">
        <v>0.1</v>
      </c>
      <c r="F103" s="3456">
        <v>15</v>
      </c>
    </row>
    <row r="104" spans="1:6" s="1070" customFormat="1" ht="30">
      <c r="A104" s="3456">
        <v>32</v>
      </c>
      <c r="B104" s="3728"/>
      <c r="C104" s="3434" t="s">
        <v>3088</v>
      </c>
      <c r="D104" s="3434" t="s">
        <v>3089</v>
      </c>
      <c r="E104" s="3457">
        <v>0.1</v>
      </c>
      <c r="F104" s="3456">
        <v>15</v>
      </c>
    </row>
    <row r="105" spans="1:6" s="1070" customFormat="1" ht="30">
      <c r="A105" s="3456">
        <v>33</v>
      </c>
      <c r="B105" s="3728"/>
      <c r="C105" s="3434" t="s">
        <v>3090</v>
      </c>
      <c r="D105" s="3434" t="s">
        <v>3091</v>
      </c>
      <c r="E105" s="3457">
        <v>0.1</v>
      </c>
      <c r="F105" s="3456">
        <v>15</v>
      </c>
    </row>
    <row r="106" spans="1:6" s="1070" customFormat="1" ht="30">
      <c r="A106" s="3456">
        <v>34</v>
      </c>
      <c r="B106" s="3723"/>
      <c r="C106" s="3434" t="s">
        <v>3092</v>
      </c>
      <c r="D106" s="3434" t="s">
        <v>3093</v>
      </c>
      <c r="E106" s="3457">
        <v>0.1</v>
      </c>
      <c r="F106" s="3456">
        <v>15</v>
      </c>
    </row>
    <row r="107" spans="1:6" s="1070" customFormat="1" ht="30">
      <c r="A107" s="3456">
        <v>35</v>
      </c>
      <c r="B107" s="3722" t="s">
        <v>3094</v>
      </c>
      <c r="C107" s="3456" t="s">
        <v>3095</v>
      </c>
      <c r="D107" s="3434" t="s">
        <v>3096</v>
      </c>
      <c r="E107" s="3457">
        <v>0.15</v>
      </c>
      <c r="F107" s="3456">
        <v>20</v>
      </c>
    </row>
    <row r="108" spans="1:6" s="1070" customFormat="1" ht="30">
      <c r="A108" s="3456">
        <v>36</v>
      </c>
      <c r="B108" s="3728"/>
      <c r="C108" s="3456" t="s">
        <v>3097</v>
      </c>
      <c r="D108" s="3434" t="s">
        <v>3098</v>
      </c>
      <c r="E108" s="3457">
        <v>0.15</v>
      </c>
      <c r="F108" s="3456">
        <v>20</v>
      </c>
    </row>
    <row r="109" spans="1:6" s="1070" customFormat="1" ht="30">
      <c r="A109" s="3456">
        <v>37</v>
      </c>
      <c r="B109" s="3728"/>
      <c r="C109" s="3456" t="s">
        <v>3099</v>
      </c>
      <c r="D109" s="3434" t="s">
        <v>3100</v>
      </c>
      <c r="E109" s="3457">
        <v>0.15</v>
      </c>
      <c r="F109" s="3456">
        <v>20</v>
      </c>
    </row>
    <row r="110" spans="1:6" s="1070" customFormat="1" ht="15">
      <c r="A110" s="3456">
        <v>38</v>
      </c>
      <c r="B110" s="3728"/>
      <c r="C110" s="3456" t="s">
        <v>3101</v>
      </c>
      <c r="D110" s="3434" t="s">
        <v>3102</v>
      </c>
      <c r="E110" s="3457">
        <v>0.1</v>
      </c>
      <c r="F110" s="3456">
        <v>15</v>
      </c>
    </row>
    <row r="111" spans="1:6" s="1070" customFormat="1" ht="30">
      <c r="A111" s="3456">
        <v>39</v>
      </c>
      <c r="B111" s="3728"/>
      <c r="C111" s="3456" t="s">
        <v>3103</v>
      </c>
      <c r="D111" s="3434" t="s">
        <v>3104</v>
      </c>
      <c r="E111" s="3457">
        <v>0.1</v>
      </c>
      <c r="F111" s="3456">
        <v>15</v>
      </c>
    </row>
    <row r="112" spans="1:6" s="1070" customFormat="1" ht="30">
      <c r="A112" s="3456">
        <v>40</v>
      </c>
      <c r="B112" s="3723"/>
      <c r="C112" s="3456" t="s">
        <v>3105</v>
      </c>
      <c r="D112" s="3434" t="s">
        <v>3106</v>
      </c>
      <c r="E112" s="3457">
        <v>0.1</v>
      </c>
      <c r="F112" s="3456">
        <v>15</v>
      </c>
    </row>
    <row r="113" spans="1:6" s="1070" customFormat="1" ht="30">
      <c r="A113" s="3456">
        <v>41</v>
      </c>
      <c r="B113" s="3721" t="s">
        <v>3107</v>
      </c>
      <c r="C113" s="3456" t="s">
        <v>3108</v>
      </c>
      <c r="D113" s="3434" t="s">
        <v>3109</v>
      </c>
      <c r="E113" s="3457">
        <v>0.1</v>
      </c>
      <c r="F113" s="3456">
        <v>15</v>
      </c>
    </row>
    <row r="114" spans="1:6" s="1070" customFormat="1" ht="15">
      <c r="A114" s="3456">
        <v>42</v>
      </c>
      <c r="B114" s="3721"/>
      <c r="C114" s="3456" t="s">
        <v>3110</v>
      </c>
      <c r="D114" s="3434" t="s">
        <v>3111</v>
      </c>
      <c r="E114" s="3457">
        <v>0.1</v>
      </c>
      <c r="F114" s="3456">
        <v>15</v>
      </c>
    </row>
    <row r="115" spans="1:6" s="1070" customFormat="1" ht="30">
      <c r="A115" s="3456">
        <v>43</v>
      </c>
      <c r="B115" s="3721"/>
      <c r="C115" s="3456" t="s">
        <v>3112</v>
      </c>
      <c r="D115" s="3434" t="s">
        <v>3113</v>
      </c>
      <c r="E115" s="3457">
        <v>0.1</v>
      </c>
      <c r="F115" s="3456">
        <v>15</v>
      </c>
    </row>
    <row r="116" spans="1:6" s="1070" customFormat="1" ht="30">
      <c r="A116" s="3456">
        <v>44</v>
      </c>
      <c r="B116" s="3722" t="s">
        <v>3114</v>
      </c>
      <c r="C116" s="3456" t="s">
        <v>3115</v>
      </c>
      <c r="D116" s="3434" t="s">
        <v>3116</v>
      </c>
      <c r="E116" s="3457">
        <v>0.1</v>
      </c>
      <c r="F116" s="3456">
        <v>15</v>
      </c>
    </row>
    <row r="117" spans="1:6" s="1070" customFormat="1" ht="30">
      <c r="A117" s="3456">
        <v>45</v>
      </c>
      <c r="B117" s="3723"/>
      <c r="C117" s="3434" t="s">
        <v>3117</v>
      </c>
      <c r="D117" s="3434" t="s">
        <v>3118</v>
      </c>
      <c r="E117" s="3457">
        <v>0.1</v>
      </c>
      <c r="F117" s="3456">
        <v>15</v>
      </c>
    </row>
    <row r="118" spans="1:6" s="1070" customFormat="1" ht="30">
      <c r="A118" s="3456">
        <v>46</v>
      </c>
      <c r="B118" s="3722" t="s">
        <v>3119</v>
      </c>
      <c r="C118" s="3456" t="s">
        <v>3120</v>
      </c>
      <c r="D118" s="3434" t="s">
        <v>3121</v>
      </c>
      <c r="E118" s="3457">
        <v>0.1</v>
      </c>
      <c r="F118" s="3456">
        <v>15</v>
      </c>
    </row>
    <row r="119" spans="1:6" s="1070" customFormat="1" ht="30">
      <c r="A119" s="3456">
        <v>47</v>
      </c>
      <c r="B119" s="3723"/>
      <c r="C119" s="3456" t="s">
        <v>3122</v>
      </c>
      <c r="D119" s="3434" t="s">
        <v>3123</v>
      </c>
      <c r="E119" s="3457">
        <v>0.1</v>
      </c>
      <c r="F119" s="3456">
        <v>15</v>
      </c>
    </row>
    <row r="120" spans="1:6" s="1070" customFormat="1" ht="30">
      <c r="A120" s="3456">
        <v>48</v>
      </c>
      <c r="B120" s="3722" t="s">
        <v>3124</v>
      </c>
      <c r="C120" s="3456" t="s">
        <v>3125</v>
      </c>
      <c r="D120" s="3434" t="s">
        <v>3126</v>
      </c>
      <c r="E120" s="3457">
        <v>0.1</v>
      </c>
      <c r="F120" s="3456">
        <v>15</v>
      </c>
    </row>
    <row r="121" spans="1:6" s="1070" customFormat="1" ht="15">
      <c r="A121" s="3456">
        <v>49</v>
      </c>
      <c r="B121" s="3723"/>
      <c r="C121" s="3456" t="s">
        <v>3127</v>
      </c>
      <c r="D121" s="3434" t="s">
        <v>3128</v>
      </c>
      <c r="E121" s="3457">
        <v>0.1</v>
      </c>
      <c r="F121" s="3456">
        <v>15</v>
      </c>
    </row>
    <row r="122" spans="1:6" s="1070" customFormat="1" ht="30">
      <c r="A122" s="3456">
        <v>50</v>
      </c>
      <c r="B122" s="3721" t="s">
        <v>3129</v>
      </c>
      <c r="C122" s="3456" t="s">
        <v>3130</v>
      </c>
      <c r="D122" s="3434" t="s">
        <v>3131</v>
      </c>
      <c r="E122" s="3457">
        <v>0.1</v>
      </c>
      <c r="F122" s="3456">
        <v>15</v>
      </c>
    </row>
    <row r="123" spans="1:6" s="1070" customFormat="1" ht="30">
      <c r="A123" s="3456">
        <v>51</v>
      </c>
      <c r="B123" s="3721"/>
      <c r="C123" s="3456" t="s">
        <v>3132</v>
      </c>
      <c r="D123" s="3434" t="s">
        <v>3133</v>
      </c>
      <c r="E123" s="3457">
        <v>0.1</v>
      </c>
      <c r="F123" s="3456">
        <v>15</v>
      </c>
    </row>
    <row r="124" spans="1:6" s="1070" customFormat="1" ht="30">
      <c r="A124" s="3456">
        <v>52</v>
      </c>
      <c r="B124" s="3721" t="s">
        <v>3134</v>
      </c>
      <c r="C124" s="3456" t="s">
        <v>3135</v>
      </c>
      <c r="D124" s="3434" t="s">
        <v>3136</v>
      </c>
      <c r="E124" s="3457">
        <v>0.1</v>
      </c>
      <c r="F124" s="3456">
        <v>15</v>
      </c>
    </row>
    <row r="125" spans="1:6" s="1070" customFormat="1" ht="30">
      <c r="A125" s="3456">
        <v>53</v>
      </c>
      <c r="B125" s="3721"/>
      <c r="C125" s="3456" t="s">
        <v>3137</v>
      </c>
      <c r="D125" s="3434" t="s">
        <v>3138</v>
      </c>
      <c r="E125" s="3457">
        <v>0.1</v>
      </c>
      <c r="F125" s="3456">
        <v>15</v>
      </c>
    </row>
    <row r="126" spans="1:6" s="1070" customFormat="1" ht="30">
      <c r="A126" s="3456">
        <v>54</v>
      </c>
      <c r="B126" s="3456" t="s">
        <v>3139</v>
      </c>
      <c r="C126" s="3456" t="s">
        <v>3140</v>
      </c>
      <c r="D126" s="3434" t="s">
        <v>3141</v>
      </c>
      <c r="E126" s="3457">
        <v>0.1</v>
      </c>
      <c r="F126" s="3456">
        <v>15</v>
      </c>
    </row>
    <row r="127" spans="1:6" s="1070" customFormat="1" ht="15">
      <c r="A127" s="3456">
        <v>55</v>
      </c>
      <c r="B127" s="3721" t="s">
        <v>3142</v>
      </c>
      <c r="C127" s="3456" t="s">
        <v>3143</v>
      </c>
      <c r="D127" s="3434" t="s">
        <v>3144</v>
      </c>
      <c r="E127" s="3457">
        <v>0.1</v>
      </c>
      <c r="F127" s="3456">
        <v>15</v>
      </c>
    </row>
    <row r="128" spans="1:6" s="1070" customFormat="1" ht="15">
      <c r="A128" s="3456">
        <v>56</v>
      </c>
      <c r="B128" s="3721"/>
      <c r="C128" s="3456" t="s">
        <v>3145</v>
      </c>
      <c r="D128" s="3434" t="s">
        <v>3146</v>
      </c>
      <c r="E128" s="3457">
        <v>0.1</v>
      </c>
      <c r="F128" s="3456">
        <v>15</v>
      </c>
    </row>
    <row r="129" spans="1:14" s="1070" customFormat="1" ht="30">
      <c r="A129" s="3456">
        <v>57</v>
      </c>
      <c r="B129" s="3721"/>
      <c r="C129" s="3456" t="s">
        <v>3147</v>
      </c>
      <c r="D129" s="3434" t="s">
        <v>3148</v>
      </c>
      <c r="E129" s="3457">
        <v>0.1</v>
      </c>
      <c r="F129" s="3456">
        <v>15</v>
      </c>
    </row>
    <row r="130" spans="1:14" s="1070" customFormat="1" ht="30">
      <c r="A130" s="3456">
        <v>58</v>
      </c>
      <c r="B130" s="3721" t="s">
        <v>3149</v>
      </c>
      <c r="C130" s="3456" t="s">
        <v>3150</v>
      </c>
      <c r="D130" s="3434" t="s">
        <v>3151</v>
      </c>
      <c r="E130" s="3457">
        <v>0.1</v>
      </c>
      <c r="F130" s="3456">
        <v>15</v>
      </c>
    </row>
    <row r="131" spans="1:14" s="1070" customFormat="1" ht="30">
      <c r="A131" s="3456">
        <v>59</v>
      </c>
      <c r="B131" s="3721"/>
      <c r="C131" s="3456" t="s">
        <v>3152</v>
      </c>
      <c r="D131" s="3434" t="s">
        <v>3153</v>
      </c>
      <c r="E131" s="3457">
        <v>0.1</v>
      </c>
      <c r="F131" s="3456">
        <v>15</v>
      </c>
    </row>
    <row r="132" spans="1:14" s="1070" customFormat="1" ht="30">
      <c r="A132" s="3456">
        <v>60</v>
      </c>
      <c r="B132" s="3722" t="s">
        <v>3154</v>
      </c>
      <c r="C132" s="3456" t="s">
        <v>3155</v>
      </c>
      <c r="D132" s="3434" t="s">
        <v>3156</v>
      </c>
      <c r="E132" s="3457">
        <v>0.1</v>
      </c>
      <c r="F132" s="3456">
        <v>15</v>
      </c>
    </row>
    <row r="133" spans="1:14" s="1070" customFormat="1" ht="30">
      <c r="A133" s="3456">
        <v>61</v>
      </c>
      <c r="B133" s="3723"/>
      <c r="C133" s="3456" t="s">
        <v>3157</v>
      </c>
      <c r="D133" s="3434" t="s">
        <v>3158</v>
      </c>
      <c r="E133" s="3457">
        <v>0.1</v>
      </c>
      <c r="F133" s="3456">
        <v>15</v>
      </c>
    </row>
    <row r="134" spans="1:14" ht="30">
      <c r="A134" s="3456">
        <v>62</v>
      </c>
      <c r="B134" s="3456" t="s">
        <v>3159</v>
      </c>
      <c r="C134" s="3456" t="s">
        <v>3160</v>
      </c>
      <c r="D134" s="3434" t="s">
        <v>3161</v>
      </c>
      <c r="E134" s="3457">
        <v>0.1</v>
      </c>
      <c r="F134" s="3456">
        <v>15</v>
      </c>
    </row>
    <row r="135" spans="1:14" ht="30">
      <c r="A135" s="3456">
        <v>63</v>
      </c>
      <c r="B135" s="3721" t="s">
        <v>3162</v>
      </c>
      <c r="C135" s="3456" t="s">
        <v>3163</v>
      </c>
      <c r="D135" s="3434" t="s">
        <v>3164</v>
      </c>
      <c r="E135" s="3457">
        <v>0.1</v>
      </c>
      <c r="F135" s="3456">
        <v>15</v>
      </c>
    </row>
    <row r="136" spans="1:14" ht="15">
      <c r="A136" s="3456">
        <v>64</v>
      </c>
      <c r="B136" s="3721"/>
      <c r="C136" s="3456" t="s">
        <v>3165</v>
      </c>
      <c r="D136" s="3434" t="s">
        <v>3166</v>
      </c>
      <c r="E136" s="3457">
        <v>0.1</v>
      </c>
      <c r="F136" s="3456">
        <v>15</v>
      </c>
    </row>
    <row r="137" spans="1:14" ht="30">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19" t="s">
        <v>1429</v>
      </c>
      <c r="B141" s="3719"/>
      <c r="C141" s="3719"/>
      <c r="D141" s="3719"/>
      <c r="E141" s="3719"/>
      <c r="F141" s="3719"/>
      <c r="G141" s="3719"/>
      <c r="H141" s="3719"/>
      <c r="I141" s="3719"/>
      <c r="J141" s="3719"/>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070" customWidth="1"/>
    <col min="2" max="5" width="10.1640625" style="1031" customWidth="1"/>
    <col min="6" max="6" width="9" style="1031"/>
    <col min="7" max="7" width="9" style="1034"/>
    <col min="8" max="8" width="9" style="1031"/>
    <col min="9" max="9" width="9" style="1034"/>
    <col min="10" max="16384" width="9" style="1031"/>
  </cols>
  <sheetData>
    <row r="1" spans="1:20">
      <c r="A1" s="3733" t="s">
        <v>1013</v>
      </c>
      <c r="B1" s="3733"/>
      <c r="C1" s="3733"/>
      <c r="D1" s="3733"/>
      <c r="E1" s="3733"/>
      <c r="F1" s="3733"/>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6" thickBot="1">
      <c r="A2" s="3734" t="s">
        <v>1026</v>
      </c>
      <c r="B2" s="3734"/>
      <c r="C2" s="3734"/>
      <c r="D2" s="3734"/>
      <c r="E2" s="3734"/>
      <c r="F2" s="3734"/>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35"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36"/>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06"/>
    <col min="2" max="16384" width="9" style="980"/>
  </cols>
  <sheetData>
    <row r="1" spans="1:14" ht="15">
      <c r="A1" s="978" t="s">
        <v>856</v>
      </c>
      <c r="B1" s="979"/>
      <c r="C1" s="979"/>
      <c r="D1" s="979"/>
      <c r="E1" s="979"/>
      <c r="F1" s="979"/>
      <c r="G1" s="979"/>
      <c r="H1" s="979"/>
      <c r="I1" s="979"/>
      <c r="J1" s="979"/>
      <c r="K1" s="979"/>
      <c r="L1" s="979"/>
      <c r="M1" s="979"/>
      <c r="N1" s="979"/>
    </row>
    <row r="2" spans="1:14" ht="15">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878</v>
      </c>
      <c r="B103" s="979"/>
      <c r="C103" s="979"/>
      <c r="D103" s="979"/>
      <c r="E103" s="979"/>
      <c r="F103" s="979"/>
      <c r="G103" s="979"/>
      <c r="H103" s="979"/>
      <c r="I103" s="979"/>
      <c r="J103" s="979"/>
      <c r="K103" s="979"/>
      <c r="L103" s="979"/>
      <c r="M103" s="979"/>
      <c r="N103" s="979"/>
    </row>
    <row r="104" spans="1:14" ht="1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879</v>
      </c>
      <c r="B205" s="979"/>
      <c r="C205" s="979"/>
      <c r="D205" s="979"/>
      <c r="E205" s="979"/>
      <c r="F205" s="979"/>
      <c r="G205" s="979"/>
      <c r="H205" s="979"/>
      <c r="I205" s="979"/>
      <c r="J205" s="979"/>
      <c r="K205" s="979"/>
      <c r="L205" s="979"/>
      <c r="M205" s="979"/>
    </row>
    <row r="206" spans="1:13" ht="15">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893</v>
      </c>
      <c r="B307" s="979"/>
      <c r="C307" s="979"/>
      <c r="D307" s="979"/>
      <c r="E307" s="979"/>
      <c r="F307" s="979"/>
      <c r="G307" s="979"/>
      <c r="H307" s="979"/>
      <c r="I307" s="979"/>
      <c r="J307" s="979"/>
      <c r="K307" s="979"/>
      <c r="L307" s="979"/>
      <c r="M307" s="979"/>
    </row>
    <row r="308" spans="1:13" ht="15">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748" customWidth="1"/>
    <col min="2" max="2" width="10.1640625" style="1749" customWidth="1"/>
  </cols>
  <sheetData>
    <row r="1" spans="1:6">
      <c r="A1" s="3737" t="s">
        <v>1864</v>
      </c>
      <c r="B1" s="3737"/>
    </row>
    <row r="2" spans="1:6" ht="15" thickBot="1">
      <c r="A2" s="1719"/>
      <c r="B2" s="1719"/>
    </row>
    <row r="3" spans="1:6" ht="15" thickBot="1">
      <c r="A3" s="1719"/>
      <c r="B3" s="1719"/>
      <c r="C3" s="1720" t="s">
        <v>1865</v>
      </c>
      <c r="D3" s="1720" t="s">
        <v>1866</v>
      </c>
      <c r="E3" s="1720" t="s">
        <v>1867</v>
      </c>
      <c r="F3" s="1720" t="s">
        <v>1868</v>
      </c>
    </row>
    <row r="4" spans="1:6" ht="16" thickBot="1">
      <c r="A4" s="1721" t="s">
        <v>1869</v>
      </c>
      <c r="B4" s="1722" t="s">
        <v>1870</v>
      </c>
      <c r="C4" s="1720"/>
      <c r="D4" s="1720"/>
      <c r="E4" s="1720"/>
      <c r="F4" s="1720"/>
    </row>
    <row r="5" spans="1:6" ht="16" thickBot="1">
      <c r="A5" s="1723" t="s">
        <v>1871</v>
      </c>
      <c r="B5" s="1724" t="s">
        <v>1872</v>
      </c>
      <c r="C5" s="1725">
        <v>8.8999999999999996E-2</v>
      </c>
      <c r="D5" s="1725">
        <v>7.3999999999999996E-2</v>
      </c>
      <c r="E5" s="1725">
        <v>7.4999999999999997E-2</v>
      </c>
      <c r="F5" s="1726">
        <v>0.1</v>
      </c>
    </row>
    <row r="6" spans="1:6" ht="16" thickBot="1">
      <c r="A6" s="1723" t="s">
        <v>1070</v>
      </c>
      <c r="B6" s="1727" t="s">
        <v>1873</v>
      </c>
      <c r="C6" s="1728">
        <v>0.1</v>
      </c>
      <c r="D6" s="1728">
        <v>9.0999999999999998E-2</v>
      </c>
      <c r="E6" s="1728">
        <v>9.0999999999999998E-2</v>
      </c>
      <c r="F6" s="1729">
        <v>0.1</v>
      </c>
    </row>
    <row r="7" spans="1:6" ht="16" thickBot="1">
      <c r="A7" s="1723" t="s">
        <v>1070</v>
      </c>
      <c r="B7" s="1730" t="s">
        <v>1058</v>
      </c>
      <c r="C7" s="1728">
        <v>8.5999999999999993E-2</v>
      </c>
      <c r="D7" s="1728">
        <v>9.6000000000000002E-2</v>
      </c>
      <c r="E7" s="1728">
        <v>7.5999999999999998E-2</v>
      </c>
      <c r="F7" s="1729">
        <v>0.1</v>
      </c>
    </row>
    <row r="8" spans="1:6" ht="16" thickBot="1">
      <c r="A8" s="1723" t="s">
        <v>1070</v>
      </c>
      <c r="B8" s="1727" t="s">
        <v>1071</v>
      </c>
      <c r="C8" s="1728">
        <v>9.9000000000000005E-2</v>
      </c>
      <c r="D8" s="1728">
        <v>9.8000000000000004E-2</v>
      </c>
      <c r="E8" s="1728">
        <v>9.8000000000000004E-2</v>
      </c>
      <c r="F8" s="1729">
        <v>0.1</v>
      </c>
    </row>
    <row r="9" spans="1:6" ht="16" thickBot="1">
      <c r="A9" s="1731" t="s">
        <v>1070</v>
      </c>
      <c r="B9" s="1732" t="s">
        <v>1085</v>
      </c>
      <c r="C9" s="1733">
        <v>0.05</v>
      </c>
      <c r="D9" s="1734"/>
      <c r="E9" s="1734"/>
      <c r="F9" s="1735"/>
    </row>
    <row r="10" spans="1:6" ht="16" thickBot="1">
      <c r="A10" s="1723" t="s">
        <v>1129</v>
      </c>
      <c r="B10" s="1724" t="s">
        <v>1874</v>
      </c>
      <c r="C10" s="1725">
        <v>8.8999999999999996E-2</v>
      </c>
      <c r="D10" s="1725">
        <v>7.2999999999999995E-2</v>
      </c>
      <c r="E10" s="1725">
        <v>8.2000000000000003E-2</v>
      </c>
      <c r="F10" s="1726">
        <v>0.1</v>
      </c>
    </row>
    <row r="11" spans="1:6" ht="16" thickBot="1">
      <c r="A11" s="1723" t="s">
        <v>1129</v>
      </c>
      <c r="B11" s="1730" t="s">
        <v>1045</v>
      </c>
      <c r="C11" s="1728">
        <v>8.8999999999999996E-2</v>
      </c>
      <c r="D11" s="1728">
        <v>7.2999999999999995E-2</v>
      </c>
      <c r="E11" s="1728">
        <v>8.2000000000000003E-2</v>
      </c>
      <c r="F11" s="1729">
        <v>0.1</v>
      </c>
    </row>
    <row r="12" spans="1:6" ht="16" thickBot="1">
      <c r="A12" s="1723" t="s">
        <v>1129</v>
      </c>
      <c r="B12" s="1730" t="s">
        <v>1059</v>
      </c>
      <c r="C12" s="1728">
        <v>6.0999999999999999E-2</v>
      </c>
      <c r="D12" s="1728">
        <v>7.0999999999999994E-2</v>
      </c>
      <c r="E12" s="1728">
        <v>9.6000000000000002E-2</v>
      </c>
      <c r="F12" s="1729">
        <v>0.1</v>
      </c>
    </row>
    <row r="13" spans="1:6" ht="16" thickBot="1">
      <c r="A13" s="1723" t="s">
        <v>1129</v>
      </c>
      <c r="B13" s="1730" t="s">
        <v>1072</v>
      </c>
      <c r="C13" s="1728">
        <v>6.9000000000000006E-2</v>
      </c>
      <c r="D13" s="1728">
        <v>6.5000000000000002E-2</v>
      </c>
      <c r="E13" s="1728">
        <v>6.6000000000000003E-2</v>
      </c>
      <c r="F13" s="1729">
        <v>0.1</v>
      </c>
    </row>
    <row r="14" spans="1:6" ht="16" thickBot="1">
      <c r="A14" s="1723" t="s">
        <v>1129</v>
      </c>
      <c r="B14" s="1730" t="s">
        <v>1086</v>
      </c>
      <c r="C14" s="1728">
        <v>0.1</v>
      </c>
      <c r="D14" s="1728">
        <v>6.5000000000000002E-2</v>
      </c>
      <c r="E14" s="1728">
        <v>7.0000000000000007E-2</v>
      </c>
      <c r="F14" s="1729">
        <v>0.1</v>
      </c>
    </row>
    <row r="15" spans="1:6" ht="16" thickBot="1">
      <c r="A15" s="1723" t="s">
        <v>1129</v>
      </c>
      <c r="B15" s="1730" t="s">
        <v>1097</v>
      </c>
      <c r="C15" s="1728">
        <v>9.8000000000000004E-2</v>
      </c>
      <c r="D15" s="1728">
        <v>8.8999999999999996E-2</v>
      </c>
      <c r="E15" s="1728">
        <v>8.8999999999999996E-2</v>
      </c>
      <c r="F15" s="1729">
        <v>0.1</v>
      </c>
    </row>
    <row r="16" spans="1:6" ht="16" thickBot="1">
      <c r="A16" s="1723" t="s">
        <v>1129</v>
      </c>
      <c r="B16" s="1730" t="s">
        <v>1108</v>
      </c>
      <c r="C16" s="1728">
        <v>7.0000000000000007E-2</v>
      </c>
      <c r="D16" s="1728">
        <v>9.2999999999999999E-2</v>
      </c>
      <c r="E16" s="1728">
        <v>9.6000000000000002E-2</v>
      </c>
      <c r="F16" s="1729">
        <v>0.1</v>
      </c>
    </row>
    <row r="17" spans="1:6" ht="16" thickBot="1">
      <c r="A17" s="1723" t="s">
        <v>1129</v>
      </c>
      <c r="B17" s="1730" t="s">
        <v>1119</v>
      </c>
      <c r="C17" s="1728">
        <v>9.5000000000000001E-2</v>
      </c>
      <c r="D17" s="1728">
        <v>0.1</v>
      </c>
      <c r="E17" s="1728">
        <v>0.1</v>
      </c>
      <c r="F17" s="1736"/>
    </row>
    <row r="18" spans="1:6" ht="16" thickBot="1">
      <c r="A18" s="1723" t="s">
        <v>1129</v>
      </c>
      <c r="B18" s="1730" t="s">
        <v>1131</v>
      </c>
      <c r="C18" s="1728">
        <v>7.3999999999999996E-2</v>
      </c>
      <c r="D18" s="1728">
        <v>9.9000000000000005E-2</v>
      </c>
      <c r="E18" s="1728">
        <v>0.1</v>
      </c>
      <c r="F18" s="1736"/>
    </row>
    <row r="19" spans="1:6" ht="16" thickBot="1">
      <c r="A19" s="1723" t="s">
        <v>1129</v>
      </c>
      <c r="B19" s="1730" t="s">
        <v>1141</v>
      </c>
      <c r="C19" s="1728">
        <v>9.9000000000000005E-2</v>
      </c>
      <c r="D19" s="1728">
        <v>7.5999999999999998E-2</v>
      </c>
      <c r="E19" s="1728">
        <v>8.6999999999999994E-2</v>
      </c>
      <c r="F19" s="1736"/>
    </row>
    <row r="20" spans="1:6" ht="16" thickBot="1">
      <c r="A20" s="1723" t="s">
        <v>1129</v>
      </c>
      <c r="B20" s="1730" t="s">
        <v>1151</v>
      </c>
      <c r="C20" s="1728">
        <v>9.8000000000000004E-2</v>
      </c>
      <c r="D20" s="1728">
        <v>8.5000000000000006E-2</v>
      </c>
      <c r="E20" s="1728">
        <v>8.2000000000000003E-2</v>
      </c>
      <c r="F20" s="1736"/>
    </row>
    <row r="21" spans="1:6" ht="16" thickBot="1">
      <c r="A21" s="1723" t="s">
        <v>1129</v>
      </c>
      <c r="B21" s="1730" t="s">
        <v>1161</v>
      </c>
      <c r="C21" s="1728">
        <v>6.6000000000000003E-2</v>
      </c>
      <c r="D21" s="1728">
        <v>6.4000000000000001E-2</v>
      </c>
      <c r="E21" s="1728">
        <v>6.5000000000000002E-2</v>
      </c>
      <c r="F21" s="1736"/>
    </row>
    <row r="22" spans="1:6" ht="16" thickBot="1">
      <c r="A22" s="1723" t="s">
        <v>1129</v>
      </c>
      <c r="B22" s="1730" t="s">
        <v>1875</v>
      </c>
      <c r="C22" s="1728">
        <v>0.08</v>
      </c>
      <c r="D22" s="1728">
        <v>9.8000000000000004E-2</v>
      </c>
      <c r="E22" s="1728">
        <v>9.8000000000000004E-2</v>
      </c>
      <c r="F22" s="1736"/>
    </row>
    <row r="23" spans="1:6" ht="16" thickBot="1">
      <c r="A23" s="1723" t="s">
        <v>1129</v>
      </c>
      <c r="B23" s="1730" t="s">
        <v>1181</v>
      </c>
      <c r="C23" s="1728">
        <v>9.9000000000000005E-2</v>
      </c>
      <c r="D23" s="1728">
        <v>9.8000000000000004E-2</v>
      </c>
      <c r="E23" s="1728">
        <v>9.0999999999999998E-2</v>
      </c>
      <c r="F23" s="1736"/>
    </row>
    <row r="24" spans="1:6" ht="16" thickBot="1">
      <c r="A24" s="1723" t="s">
        <v>1129</v>
      </c>
      <c r="B24" s="1730" t="s">
        <v>1191</v>
      </c>
      <c r="C24" s="1728">
        <v>8.8999999999999996E-2</v>
      </c>
      <c r="D24" s="1728">
        <v>9.7000000000000003E-2</v>
      </c>
      <c r="E24" s="1728">
        <v>7.0000000000000007E-2</v>
      </c>
      <c r="F24" s="1736"/>
    </row>
    <row r="25" spans="1:6" ht="16" thickBot="1">
      <c r="A25" s="1723" t="s">
        <v>1129</v>
      </c>
      <c r="B25" s="1730" t="s">
        <v>1201</v>
      </c>
      <c r="C25" s="1728">
        <v>8.8999999999999996E-2</v>
      </c>
      <c r="D25" s="1728">
        <v>0.1</v>
      </c>
      <c r="E25" s="1728">
        <v>8.1000000000000003E-2</v>
      </c>
      <c r="F25" s="1736"/>
    </row>
    <row r="26" spans="1:6" ht="16" thickBot="1">
      <c r="A26" s="1723" t="s">
        <v>1129</v>
      </c>
      <c r="B26" s="1730" t="s">
        <v>1211</v>
      </c>
      <c r="C26" s="1737"/>
      <c r="D26" s="1728">
        <v>9.6000000000000002E-2</v>
      </c>
      <c r="E26" s="1728">
        <v>9.2999999999999999E-2</v>
      </c>
      <c r="F26" s="1736"/>
    </row>
    <row r="27" spans="1:6" ht="16" thickBot="1">
      <c r="A27" s="1723" t="s">
        <v>1129</v>
      </c>
      <c r="B27" s="1730" t="s">
        <v>1221</v>
      </c>
      <c r="C27" s="1737"/>
      <c r="D27" s="1728">
        <v>7.5999999999999998E-2</v>
      </c>
      <c r="E27" s="1728">
        <v>9.1999999999999998E-2</v>
      </c>
      <c r="F27" s="1736"/>
    </row>
    <row r="28" spans="1:6" ht="16" thickBot="1">
      <c r="A28" s="1731" t="s">
        <v>1129</v>
      </c>
      <c r="B28" s="1732" t="s">
        <v>1231</v>
      </c>
      <c r="C28" s="1734"/>
      <c r="D28" s="1733">
        <v>7.5999999999999998E-2</v>
      </c>
      <c r="E28" s="1733">
        <v>9.1999999999999998E-2</v>
      </c>
      <c r="F28" s="1735"/>
    </row>
    <row r="29" spans="1:6" ht="16" thickBot="1">
      <c r="A29" s="1723" t="s">
        <v>1300</v>
      </c>
      <c r="B29" s="1724" t="s">
        <v>1876</v>
      </c>
      <c r="C29" s="1725">
        <v>6.4000000000000001E-2</v>
      </c>
      <c r="D29" s="1725">
        <v>6.5000000000000002E-2</v>
      </c>
      <c r="E29" s="1725">
        <v>6.9000000000000006E-2</v>
      </c>
      <c r="F29" s="1726">
        <v>0.1</v>
      </c>
    </row>
    <row r="30" spans="1:6" ht="16" thickBot="1">
      <c r="A30" s="1723" t="s">
        <v>1300</v>
      </c>
      <c r="B30" s="1730" t="s">
        <v>1046</v>
      </c>
      <c r="C30" s="1728">
        <v>6.4000000000000001E-2</v>
      </c>
      <c r="D30" s="1728">
        <v>9.9000000000000005E-2</v>
      </c>
      <c r="E30" s="1728">
        <v>0.1</v>
      </c>
      <c r="F30" s="1729">
        <v>0.1</v>
      </c>
    </row>
    <row r="31" spans="1:6" ht="16" thickBot="1">
      <c r="A31" s="1723" t="s">
        <v>1300</v>
      </c>
      <c r="B31" s="1730" t="s">
        <v>1060</v>
      </c>
      <c r="C31" s="1728">
        <v>0.1</v>
      </c>
      <c r="D31" s="1728">
        <v>9.5000000000000001E-2</v>
      </c>
      <c r="E31" s="1728">
        <v>8.8999999999999996E-2</v>
      </c>
      <c r="F31" s="1729">
        <v>0.1</v>
      </c>
    </row>
    <row r="32" spans="1:6" ht="16" thickBot="1">
      <c r="A32" s="1723" t="s">
        <v>1300</v>
      </c>
      <c r="B32" s="1730" t="s">
        <v>1073</v>
      </c>
      <c r="C32" s="1728">
        <v>0.05</v>
      </c>
      <c r="D32" s="1728">
        <v>0.05</v>
      </c>
      <c r="E32" s="1728">
        <v>8.7999999999999995E-2</v>
      </c>
      <c r="F32" s="1729">
        <v>0.1</v>
      </c>
    </row>
    <row r="33" spans="1:6" ht="16" thickBot="1">
      <c r="A33" s="1723" t="s">
        <v>1300</v>
      </c>
      <c r="B33" s="1730" t="s">
        <v>1087</v>
      </c>
      <c r="C33" s="1728">
        <v>7.4999999999999997E-2</v>
      </c>
      <c r="D33" s="1728">
        <v>9.4E-2</v>
      </c>
      <c r="E33" s="1728">
        <v>9.7000000000000003E-2</v>
      </c>
      <c r="F33" s="1729">
        <v>0.1</v>
      </c>
    </row>
    <row r="34" spans="1:6" ht="16" thickBot="1">
      <c r="A34" s="1723" t="s">
        <v>1300</v>
      </c>
      <c r="B34" s="1730" t="s">
        <v>1098</v>
      </c>
      <c r="C34" s="1728">
        <v>9.8000000000000004E-2</v>
      </c>
      <c r="D34" s="1728">
        <v>8.5999999999999993E-2</v>
      </c>
      <c r="E34" s="1728">
        <v>9.7000000000000003E-2</v>
      </c>
      <c r="F34" s="1729">
        <v>0.1</v>
      </c>
    </row>
    <row r="35" spans="1:6" ht="16" thickBot="1">
      <c r="A35" s="1723" t="s">
        <v>1300</v>
      </c>
      <c r="B35" s="1730" t="s">
        <v>1109</v>
      </c>
      <c r="C35" s="1728">
        <v>5.8999999999999997E-2</v>
      </c>
      <c r="D35" s="1728">
        <v>6.5000000000000002E-2</v>
      </c>
      <c r="E35" s="1728">
        <v>7.0000000000000007E-2</v>
      </c>
      <c r="F35" s="1729">
        <v>0.1</v>
      </c>
    </row>
    <row r="36" spans="1:6" ht="16" thickBot="1">
      <c r="A36" s="1723" t="s">
        <v>1300</v>
      </c>
      <c r="B36" s="1730" t="s">
        <v>1120</v>
      </c>
      <c r="C36" s="1728">
        <v>6.3E-2</v>
      </c>
      <c r="D36" s="1728">
        <v>0.1</v>
      </c>
      <c r="E36" s="1728">
        <v>0.1</v>
      </c>
      <c r="F36" s="1729">
        <v>0.1</v>
      </c>
    </row>
    <row r="37" spans="1:6" ht="16" thickBot="1">
      <c r="A37" s="1723" t="s">
        <v>1300</v>
      </c>
      <c r="B37" s="1730" t="s">
        <v>1132</v>
      </c>
      <c r="C37" s="1728">
        <v>7.3999999999999996E-2</v>
      </c>
      <c r="D37" s="1728">
        <v>0.1</v>
      </c>
      <c r="E37" s="1728">
        <v>0.1</v>
      </c>
      <c r="F37" s="1729">
        <v>0.1</v>
      </c>
    </row>
    <row r="38" spans="1:6" ht="16" thickBot="1">
      <c r="A38" s="1723" t="s">
        <v>1300</v>
      </c>
      <c r="B38" s="1730" t="s">
        <v>1142</v>
      </c>
      <c r="C38" s="1728">
        <v>0.1</v>
      </c>
      <c r="D38" s="1728">
        <v>9.6000000000000002E-2</v>
      </c>
      <c r="E38" s="1728">
        <v>9.6000000000000002E-2</v>
      </c>
      <c r="F38" s="1736"/>
    </row>
    <row r="39" spans="1:6" ht="16" thickBot="1">
      <c r="A39" s="1723" t="s">
        <v>1300</v>
      </c>
      <c r="B39" s="1730" t="s">
        <v>1152</v>
      </c>
      <c r="C39" s="1728">
        <v>0.1</v>
      </c>
      <c r="D39" s="1728">
        <v>9.6000000000000002E-2</v>
      </c>
      <c r="E39" s="1728">
        <v>9.6000000000000002E-2</v>
      </c>
      <c r="F39" s="1736"/>
    </row>
    <row r="40" spans="1:6" ht="16" thickBot="1">
      <c r="A40" s="1723" t="s">
        <v>1300</v>
      </c>
      <c r="B40" s="1730" t="s">
        <v>1162</v>
      </c>
      <c r="C40" s="1728">
        <v>9.6000000000000002E-2</v>
      </c>
      <c r="D40" s="1728">
        <v>0.1</v>
      </c>
      <c r="E40" s="1728">
        <v>9.9000000000000005E-2</v>
      </c>
      <c r="F40" s="1736"/>
    </row>
    <row r="41" spans="1:6" ht="16" thickBot="1">
      <c r="A41" s="1723" t="s">
        <v>1300</v>
      </c>
      <c r="B41" s="1730" t="s">
        <v>1172</v>
      </c>
      <c r="C41" s="1728">
        <v>9.6000000000000002E-2</v>
      </c>
      <c r="D41" s="1728">
        <v>9.8000000000000004E-2</v>
      </c>
      <c r="E41" s="1728">
        <v>9.8000000000000004E-2</v>
      </c>
      <c r="F41" s="1736"/>
    </row>
    <row r="42" spans="1:6" ht="16" thickBot="1">
      <c r="A42" s="1723" t="s">
        <v>1300</v>
      </c>
      <c r="B42" s="1730" t="s">
        <v>1182</v>
      </c>
      <c r="C42" s="1728">
        <v>0.1</v>
      </c>
      <c r="D42" s="1728">
        <v>8.7999999999999995E-2</v>
      </c>
      <c r="E42" s="1728">
        <v>0.1</v>
      </c>
      <c r="F42" s="1736"/>
    </row>
    <row r="43" spans="1:6" ht="16" thickBot="1">
      <c r="A43" s="1723" t="s">
        <v>1300</v>
      </c>
      <c r="B43" s="1730" t="s">
        <v>1192</v>
      </c>
      <c r="C43" s="1728">
        <v>9.8000000000000004E-2</v>
      </c>
      <c r="D43" s="1728">
        <v>9.7000000000000003E-2</v>
      </c>
      <c r="E43" s="1728">
        <v>9.6000000000000002E-2</v>
      </c>
      <c r="F43" s="1736"/>
    </row>
    <row r="44" spans="1:6" ht="16" thickBot="1">
      <c r="A44" s="1723" t="s">
        <v>1300</v>
      </c>
      <c r="B44" s="1730" t="s">
        <v>1202</v>
      </c>
      <c r="C44" s="1728">
        <v>8.5999999999999993E-2</v>
      </c>
      <c r="D44" s="1728">
        <v>7.9000000000000001E-2</v>
      </c>
      <c r="E44" s="1728">
        <v>7.0999999999999994E-2</v>
      </c>
      <c r="F44" s="1736"/>
    </row>
    <row r="45" spans="1:6" ht="16" thickBot="1">
      <c r="A45" s="1723" t="s">
        <v>1300</v>
      </c>
      <c r="B45" s="1730" t="s">
        <v>1212</v>
      </c>
      <c r="C45" s="1728">
        <v>9.8000000000000004E-2</v>
      </c>
      <c r="D45" s="1728">
        <v>9.6000000000000002E-2</v>
      </c>
      <c r="E45" s="1728">
        <v>9.6000000000000002E-2</v>
      </c>
      <c r="F45" s="1736"/>
    </row>
    <row r="46" spans="1:6" ht="16" thickBot="1">
      <c r="A46" s="1723" t="s">
        <v>1300</v>
      </c>
      <c r="B46" s="1730" t="s">
        <v>1222</v>
      </c>
      <c r="C46" s="1728">
        <v>8.5999999999999993E-2</v>
      </c>
      <c r="D46" s="1728">
        <v>9.8000000000000004E-2</v>
      </c>
      <c r="E46" s="1728">
        <v>8.7999999999999995E-2</v>
      </c>
      <c r="F46" s="1736"/>
    </row>
    <row r="47" spans="1:6" ht="16" thickBot="1">
      <c r="A47" s="1723" t="s">
        <v>1300</v>
      </c>
      <c r="B47" s="1730" t="s">
        <v>1232</v>
      </c>
      <c r="C47" s="1728">
        <v>9.6000000000000002E-2</v>
      </c>
      <c r="D47" s="1737"/>
      <c r="E47" s="1728">
        <v>6.9000000000000006E-2</v>
      </c>
      <c r="F47" s="1736"/>
    </row>
    <row r="48" spans="1:6" ht="16" thickBot="1">
      <c r="A48" s="1731" t="s">
        <v>1300</v>
      </c>
      <c r="B48" s="1732" t="s">
        <v>1241</v>
      </c>
      <c r="C48" s="1733">
        <v>9.8000000000000004E-2</v>
      </c>
      <c r="D48" s="1734"/>
      <c r="E48" s="1733">
        <v>9.5000000000000001E-2</v>
      </c>
      <c r="F48" s="1735"/>
    </row>
    <row r="49" spans="1:6" ht="16" thickBot="1">
      <c r="A49" s="1723" t="s">
        <v>899</v>
      </c>
      <c r="B49" s="1724" t="s">
        <v>1877</v>
      </c>
      <c r="C49" s="1725">
        <v>9.7000000000000003E-2</v>
      </c>
      <c r="D49" s="1725">
        <v>9.5000000000000001E-2</v>
      </c>
      <c r="E49" s="1725">
        <v>9.7000000000000003E-2</v>
      </c>
      <c r="F49" s="1726">
        <v>0.1</v>
      </c>
    </row>
    <row r="50" spans="1:6" ht="16" thickBot="1">
      <c r="A50" s="1723" t="s">
        <v>899</v>
      </c>
      <c r="B50" s="1727" t="s">
        <v>1047</v>
      </c>
      <c r="C50" s="1728">
        <v>7.4999999999999997E-2</v>
      </c>
      <c r="D50" s="1728">
        <v>9.5000000000000001E-2</v>
      </c>
      <c r="E50" s="1728">
        <v>0.1</v>
      </c>
      <c r="F50" s="1729">
        <v>0.1</v>
      </c>
    </row>
    <row r="51" spans="1:6" ht="16" thickBot="1">
      <c r="A51" s="1723" t="s">
        <v>899</v>
      </c>
      <c r="B51" s="1727" t="s">
        <v>1061</v>
      </c>
      <c r="C51" s="1728">
        <v>9.8000000000000004E-2</v>
      </c>
      <c r="D51" s="1728">
        <v>8.8999999999999996E-2</v>
      </c>
      <c r="E51" s="1728">
        <v>0.1</v>
      </c>
      <c r="F51" s="1729">
        <v>0.1</v>
      </c>
    </row>
    <row r="52" spans="1:6" ht="16" thickBot="1">
      <c r="A52" s="1723" t="s">
        <v>899</v>
      </c>
      <c r="B52" s="1727" t="s">
        <v>1074</v>
      </c>
      <c r="C52" s="1728">
        <v>9.8000000000000004E-2</v>
      </c>
      <c r="D52" s="1728">
        <v>9.7000000000000003E-2</v>
      </c>
      <c r="E52" s="1728">
        <v>8.1000000000000003E-2</v>
      </c>
      <c r="F52" s="1729">
        <v>0.1</v>
      </c>
    </row>
    <row r="53" spans="1:6" ht="16" thickBot="1">
      <c r="A53" s="1723" t="s">
        <v>899</v>
      </c>
      <c r="B53" s="1727" t="s">
        <v>1088</v>
      </c>
      <c r="C53" s="1728">
        <v>9.7000000000000003E-2</v>
      </c>
      <c r="D53" s="1728">
        <v>7.5999999999999998E-2</v>
      </c>
      <c r="E53" s="1728">
        <v>7.0999999999999994E-2</v>
      </c>
      <c r="F53" s="1729">
        <v>0.1</v>
      </c>
    </row>
    <row r="54" spans="1:6" ht="16" thickBot="1">
      <c r="A54" s="1723" t="s">
        <v>899</v>
      </c>
      <c r="B54" s="1727" t="s">
        <v>1099</v>
      </c>
      <c r="C54" s="1728">
        <v>7.5999999999999998E-2</v>
      </c>
      <c r="D54" s="1728">
        <v>0.1</v>
      </c>
      <c r="E54" s="1728">
        <v>9.9000000000000005E-2</v>
      </c>
      <c r="F54" s="1729">
        <v>0.1</v>
      </c>
    </row>
    <row r="55" spans="1:6" ht="16" thickBot="1">
      <c r="A55" s="1723" t="s">
        <v>899</v>
      </c>
      <c r="B55" s="1727" t="s">
        <v>1110</v>
      </c>
      <c r="C55" s="1728">
        <v>0.1</v>
      </c>
      <c r="D55" s="1728">
        <v>0.1</v>
      </c>
      <c r="E55" s="1728">
        <v>9.6000000000000002E-2</v>
      </c>
      <c r="F55" s="1729">
        <v>0.1</v>
      </c>
    </row>
    <row r="56" spans="1:6" ht="16" thickBot="1">
      <c r="A56" s="1723" t="s">
        <v>899</v>
      </c>
      <c r="B56" s="1727" t="s">
        <v>1121</v>
      </c>
      <c r="C56" s="1728">
        <v>0.1</v>
      </c>
      <c r="D56" s="1728">
        <v>9.6000000000000002E-2</v>
      </c>
      <c r="E56" s="1728">
        <v>5.1999999999999998E-2</v>
      </c>
      <c r="F56" s="1729">
        <v>0.1</v>
      </c>
    </row>
    <row r="57" spans="1:6" ht="16" thickBot="1">
      <c r="A57" s="1723" t="s">
        <v>899</v>
      </c>
      <c r="B57" s="1727" t="s">
        <v>1133</v>
      </c>
      <c r="C57" s="1728">
        <v>9.7000000000000003E-2</v>
      </c>
      <c r="D57" s="1728">
        <v>9.6000000000000002E-2</v>
      </c>
      <c r="E57" s="1728">
        <v>9.6000000000000002E-2</v>
      </c>
      <c r="F57" s="1729">
        <v>0.1</v>
      </c>
    </row>
    <row r="58" spans="1:6" ht="16" thickBot="1">
      <c r="A58" s="1723" t="s">
        <v>899</v>
      </c>
      <c r="B58" s="1727" t="s">
        <v>1143</v>
      </c>
      <c r="C58" s="1728">
        <v>9.6000000000000002E-2</v>
      </c>
      <c r="D58" s="1728">
        <v>9.9000000000000005E-2</v>
      </c>
      <c r="E58" s="1728">
        <v>9.6000000000000002E-2</v>
      </c>
      <c r="F58" s="1729">
        <v>0.1</v>
      </c>
    </row>
    <row r="59" spans="1:6" ht="16" thickBot="1">
      <c r="A59" s="1723" t="s">
        <v>899</v>
      </c>
      <c r="B59" s="1727" t="s">
        <v>1153</v>
      </c>
      <c r="C59" s="1728">
        <v>7.1999999999999995E-2</v>
      </c>
      <c r="D59" s="1728">
        <v>9.6000000000000002E-2</v>
      </c>
      <c r="E59" s="1728">
        <v>7.0999999999999994E-2</v>
      </c>
      <c r="F59" s="1729">
        <v>0.1</v>
      </c>
    </row>
    <row r="60" spans="1:6" ht="16" thickBot="1">
      <c r="A60" s="1723" t="s">
        <v>899</v>
      </c>
      <c r="B60" s="1727" t="s">
        <v>1163</v>
      </c>
      <c r="C60" s="1728">
        <v>9.6000000000000002E-2</v>
      </c>
      <c r="D60" s="1728">
        <v>8.8999999999999996E-2</v>
      </c>
      <c r="E60" s="1728">
        <v>9.6000000000000002E-2</v>
      </c>
      <c r="F60" s="1729">
        <v>0.1</v>
      </c>
    </row>
    <row r="61" spans="1:6" ht="16" thickBot="1">
      <c r="A61" s="1723" t="s">
        <v>899</v>
      </c>
      <c r="B61" s="1727" t="s">
        <v>1173</v>
      </c>
      <c r="C61" s="1728">
        <v>8.8999999999999996E-2</v>
      </c>
      <c r="D61" s="1728">
        <v>9.8000000000000004E-2</v>
      </c>
      <c r="E61" s="1728">
        <v>8.7999999999999995E-2</v>
      </c>
      <c r="F61" s="1736"/>
    </row>
    <row r="62" spans="1:6" ht="16" thickBot="1">
      <c r="A62" s="1723" t="s">
        <v>899</v>
      </c>
      <c r="B62" s="1727" t="s">
        <v>1183</v>
      </c>
      <c r="C62" s="1728">
        <v>9.8000000000000004E-2</v>
      </c>
      <c r="D62" s="1728">
        <v>9.2999999999999999E-2</v>
      </c>
      <c r="E62" s="1728">
        <v>9.7000000000000003E-2</v>
      </c>
      <c r="F62" s="1736"/>
    </row>
    <row r="63" spans="1:6" ht="16" thickBot="1">
      <c r="A63" s="1723" t="s">
        <v>899</v>
      </c>
      <c r="B63" s="1727" t="s">
        <v>1193</v>
      </c>
      <c r="C63" s="1728">
        <v>9.6000000000000002E-2</v>
      </c>
      <c r="D63" s="1728">
        <v>9.8000000000000004E-2</v>
      </c>
      <c r="E63" s="1728">
        <v>0.09</v>
      </c>
      <c r="F63" s="1736"/>
    </row>
    <row r="64" spans="1:6" ht="16" thickBot="1">
      <c r="A64" s="1723" t="s">
        <v>899</v>
      </c>
      <c r="B64" s="1727" t="s">
        <v>1203</v>
      </c>
      <c r="C64" s="1728">
        <v>9.9000000000000005E-2</v>
      </c>
      <c r="D64" s="1728">
        <v>9.7000000000000003E-2</v>
      </c>
      <c r="E64" s="1728">
        <v>9.9000000000000005E-2</v>
      </c>
      <c r="F64" s="1736"/>
    </row>
    <row r="65" spans="1:6" ht="16" thickBot="1">
      <c r="A65" s="1723" t="s">
        <v>899</v>
      </c>
      <c r="B65" s="1727" t="s">
        <v>1213</v>
      </c>
      <c r="C65" s="1728">
        <v>9.8000000000000004E-2</v>
      </c>
      <c r="D65" s="1728">
        <v>9.6000000000000002E-2</v>
      </c>
      <c r="E65" s="1728">
        <v>9.6000000000000002E-2</v>
      </c>
      <c r="F65" s="1736"/>
    </row>
    <row r="66" spans="1:6" ht="16" thickBot="1">
      <c r="A66" s="1723" t="s">
        <v>899</v>
      </c>
      <c r="B66" s="1727" t="s">
        <v>1223</v>
      </c>
      <c r="C66" s="1728">
        <v>9.6000000000000002E-2</v>
      </c>
      <c r="D66" s="1728">
        <v>9.1999999999999998E-2</v>
      </c>
      <c r="E66" s="1728">
        <v>9.6000000000000002E-2</v>
      </c>
      <c r="F66" s="1736"/>
    </row>
    <row r="67" spans="1:6" ht="16" thickBot="1">
      <c r="A67" s="1723" t="s">
        <v>899</v>
      </c>
      <c r="B67" s="1727" t="s">
        <v>1233</v>
      </c>
      <c r="C67" s="1728">
        <v>9.4E-2</v>
      </c>
      <c r="D67" s="1728">
        <v>0.1</v>
      </c>
      <c r="E67" s="1728">
        <v>8.7999999999999995E-2</v>
      </c>
      <c r="F67" s="1736"/>
    </row>
    <row r="68" spans="1:6" ht="16" thickBot="1">
      <c r="A68" s="1723" t="s">
        <v>899</v>
      </c>
      <c r="B68" s="1727" t="s">
        <v>1242</v>
      </c>
      <c r="C68" s="1728">
        <v>0.1</v>
      </c>
      <c r="D68" s="1728">
        <v>8.7999999999999995E-2</v>
      </c>
      <c r="E68" s="1728">
        <v>9.7000000000000003E-2</v>
      </c>
      <c r="F68" s="1736"/>
    </row>
    <row r="69" spans="1:6" ht="16" thickBot="1">
      <c r="A69" s="1723" t="s">
        <v>899</v>
      </c>
      <c r="B69" s="1727" t="s">
        <v>1251</v>
      </c>
      <c r="C69" s="1728">
        <v>6.4000000000000001E-2</v>
      </c>
      <c r="D69" s="1728">
        <v>0.1</v>
      </c>
      <c r="E69" s="1728">
        <v>0.1</v>
      </c>
      <c r="F69" s="1736"/>
    </row>
    <row r="70" spans="1:6" ht="16" thickBot="1">
      <c r="A70" s="1723" t="s">
        <v>899</v>
      </c>
      <c r="B70" s="1727" t="s">
        <v>1259</v>
      </c>
      <c r="C70" s="1728">
        <v>9.0999999999999998E-2</v>
      </c>
      <c r="D70" s="1737"/>
      <c r="E70" s="1737"/>
      <c r="F70" s="1736"/>
    </row>
    <row r="71" spans="1:6" ht="16" thickBot="1">
      <c r="A71" s="1723" t="s">
        <v>899</v>
      </c>
      <c r="B71" s="1727" t="s">
        <v>1266</v>
      </c>
      <c r="C71" s="1728">
        <v>0.1</v>
      </c>
      <c r="D71" s="1737"/>
      <c r="E71" s="1737"/>
      <c r="F71" s="1736"/>
    </row>
    <row r="72" spans="1:6" ht="16" thickBot="1">
      <c r="A72" s="1723" t="s">
        <v>899</v>
      </c>
      <c r="B72" s="1727" t="s">
        <v>1878</v>
      </c>
      <c r="C72" s="1737"/>
      <c r="D72" s="1737"/>
      <c r="E72" s="1737"/>
      <c r="F72" s="1729">
        <v>0.05</v>
      </c>
    </row>
    <row r="73" spans="1:6" ht="16" thickBot="1">
      <c r="A73" s="1723" t="s">
        <v>899</v>
      </c>
      <c r="B73" s="1727" t="s">
        <v>1879</v>
      </c>
      <c r="C73" s="1737"/>
      <c r="D73" s="1737"/>
      <c r="E73" s="1737"/>
      <c r="F73" s="1729">
        <v>0.05</v>
      </c>
    </row>
    <row r="74" spans="1:6" ht="16" thickBot="1">
      <c r="A74" s="1723" t="s">
        <v>899</v>
      </c>
      <c r="B74" s="1727" t="s">
        <v>1880</v>
      </c>
      <c r="C74" s="1737"/>
      <c r="D74" s="1737"/>
      <c r="E74" s="1737"/>
      <c r="F74" s="1729">
        <v>0.05</v>
      </c>
    </row>
    <row r="75" spans="1:6" ht="16" thickBot="1">
      <c r="A75" s="1731" t="s">
        <v>899</v>
      </c>
      <c r="B75" s="1738" t="s">
        <v>1881</v>
      </c>
      <c r="C75" s="1734"/>
      <c r="D75" s="1734"/>
      <c r="E75" s="1734"/>
      <c r="F75" s="1739">
        <v>0.05</v>
      </c>
    </row>
    <row r="76" spans="1:6" ht="16" thickBot="1">
      <c r="A76" s="1723" t="s">
        <v>1381</v>
      </c>
      <c r="B76" s="1724" t="s">
        <v>1882</v>
      </c>
      <c r="C76" s="1725">
        <v>0.1</v>
      </c>
      <c r="D76" s="1725">
        <v>0.1</v>
      </c>
      <c r="E76" s="1725">
        <v>0.1</v>
      </c>
      <c r="F76" s="1726">
        <v>0.1</v>
      </c>
    </row>
    <row r="77" spans="1:6" ht="16" thickBot="1">
      <c r="A77" s="1723" t="s">
        <v>1381</v>
      </c>
      <c r="B77" s="1727" t="s">
        <v>1048</v>
      </c>
      <c r="C77" s="1728">
        <v>8.7999999999999995E-2</v>
      </c>
      <c r="D77" s="1728">
        <v>8.6999999999999994E-2</v>
      </c>
      <c r="E77" s="1728">
        <v>7.9000000000000001E-2</v>
      </c>
      <c r="F77" s="1729">
        <v>0.1</v>
      </c>
    </row>
    <row r="78" spans="1:6" ht="16" thickBot="1">
      <c r="A78" s="1723" t="s">
        <v>1381</v>
      </c>
      <c r="B78" s="1727" t="s">
        <v>1062</v>
      </c>
      <c r="C78" s="1728">
        <v>8.6999999999999994E-2</v>
      </c>
      <c r="D78" s="1728">
        <v>8.4000000000000005E-2</v>
      </c>
      <c r="E78" s="1728">
        <v>9.6000000000000002E-2</v>
      </c>
      <c r="F78" s="1729">
        <v>0.1</v>
      </c>
    </row>
    <row r="79" spans="1:6" ht="16" thickBot="1">
      <c r="A79" s="1723" t="s">
        <v>1381</v>
      </c>
      <c r="B79" s="1727" t="s">
        <v>1075</v>
      </c>
      <c r="C79" s="1728">
        <v>9.8000000000000004E-2</v>
      </c>
      <c r="D79" s="1728">
        <v>9.8000000000000004E-2</v>
      </c>
      <c r="E79" s="1728">
        <v>9.0999999999999998E-2</v>
      </c>
      <c r="F79" s="1729">
        <v>0.1</v>
      </c>
    </row>
    <row r="80" spans="1:6" ht="16" thickBot="1">
      <c r="A80" s="1723" t="s">
        <v>1381</v>
      </c>
      <c r="B80" s="1727" t="s">
        <v>1089</v>
      </c>
      <c r="C80" s="1728">
        <v>9.6000000000000002E-2</v>
      </c>
      <c r="D80" s="1728">
        <v>9.6000000000000002E-2</v>
      </c>
      <c r="E80" s="1728">
        <v>0.1</v>
      </c>
      <c r="F80" s="1729">
        <v>0.1</v>
      </c>
    </row>
    <row r="81" spans="1:6" ht="16" thickBot="1">
      <c r="A81" s="1723" t="s">
        <v>1381</v>
      </c>
      <c r="B81" s="1727" t="s">
        <v>1100</v>
      </c>
      <c r="C81" s="1728">
        <v>9.9000000000000005E-2</v>
      </c>
      <c r="D81" s="1728">
        <v>9.9000000000000005E-2</v>
      </c>
      <c r="E81" s="1728">
        <v>9.8000000000000004E-2</v>
      </c>
      <c r="F81" s="1729">
        <v>0.1</v>
      </c>
    </row>
    <row r="82" spans="1:6" ht="16" thickBot="1">
      <c r="A82" s="1723" t="s">
        <v>1381</v>
      </c>
      <c r="B82" s="1727" t="s">
        <v>1111</v>
      </c>
      <c r="C82" s="1728">
        <v>9.9000000000000005E-2</v>
      </c>
      <c r="D82" s="1728">
        <v>9.9000000000000005E-2</v>
      </c>
      <c r="E82" s="1728">
        <v>9.7000000000000003E-2</v>
      </c>
      <c r="F82" s="1729">
        <v>0.1</v>
      </c>
    </row>
    <row r="83" spans="1:6" ht="16" thickBot="1">
      <c r="A83" s="1723" t="s">
        <v>1381</v>
      </c>
      <c r="B83" s="1727" t="s">
        <v>1122</v>
      </c>
      <c r="C83" s="1728">
        <v>9.8000000000000004E-2</v>
      </c>
      <c r="D83" s="1728">
        <v>9.8000000000000004E-2</v>
      </c>
      <c r="E83" s="1728">
        <v>9.8000000000000004E-2</v>
      </c>
      <c r="F83" s="1729">
        <v>0.1</v>
      </c>
    </row>
    <row r="84" spans="1:6" ht="16" thickBot="1">
      <c r="A84" s="1723" t="s">
        <v>1381</v>
      </c>
      <c r="B84" s="1727" t="s">
        <v>1134</v>
      </c>
      <c r="C84" s="1728">
        <v>9.9000000000000005E-2</v>
      </c>
      <c r="D84" s="1728">
        <v>9.9000000000000005E-2</v>
      </c>
      <c r="E84" s="1728">
        <v>9.9000000000000005E-2</v>
      </c>
      <c r="F84" s="1729">
        <v>0.1</v>
      </c>
    </row>
    <row r="85" spans="1:6" ht="16" thickBot="1">
      <c r="A85" s="1723" t="s">
        <v>1381</v>
      </c>
      <c r="B85" s="1727" t="s">
        <v>1144</v>
      </c>
      <c r="C85" s="1728">
        <v>9.9000000000000005E-2</v>
      </c>
      <c r="D85" s="1728">
        <v>9.9000000000000005E-2</v>
      </c>
      <c r="E85" s="1728">
        <v>9.9000000000000005E-2</v>
      </c>
      <c r="F85" s="1729">
        <v>0.1</v>
      </c>
    </row>
    <row r="86" spans="1:6" ht="16" thickBot="1">
      <c r="A86" s="1723" t="s">
        <v>1381</v>
      </c>
      <c r="B86" s="1727" t="s">
        <v>1154</v>
      </c>
      <c r="C86" s="1728">
        <v>0.1</v>
      </c>
      <c r="D86" s="1728">
        <v>0.1</v>
      </c>
      <c r="E86" s="1728">
        <v>7.6999999999999999E-2</v>
      </c>
      <c r="F86" s="1729">
        <v>0.1</v>
      </c>
    </row>
    <row r="87" spans="1:6" ht="16" thickBot="1">
      <c r="A87" s="1723" t="s">
        <v>1381</v>
      </c>
      <c r="B87" s="1727" t="s">
        <v>1164</v>
      </c>
      <c r="C87" s="1728">
        <v>0.1</v>
      </c>
      <c r="D87" s="1728">
        <v>0.1</v>
      </c>
      <c r="E87" s="1728">
        <v>9.8000000000000004E-2</v>
      </c>
      <c r="F87" s="1736"/>
    </row>
    <row r="88" spans="1:6" ht="16" thickBot="1">
      <c r="A88" s="1723" t="s">
        <v>1381</v>
      </c>
      <c r="B88" s="1727" t="s">
        <v>1174</v>
      </c>
      <c r="C88" s="1728">
        <v>9.1999999999999998E-2</v>
      </c>
      <c r="D88" s="1728">
        <v>8.5000000000000006E-2</v>
      </c>
      <c r="E88" s="1728">
        <v>9.6000000000000002E-2</v>
      </c>
      <c r="F88" s="1736"/>
    </row>
    <row r="89" spans="1:6" ht="16" thickBot="1">
      <c r="A89" s="1723" t="s">
        <v>1381</v>
      </c>
      <c r="B89" s="1727" t="s">
        <v>1184</v>
      </c>
      <c r="C89" s="1728">
        <v>0.1</v>
      </c>
      <c r="D89" s="1728">
        <v>0.1</v>
      </c>
      <c r="E89" s="1728">
        <v>9.7000000000000003E-2</v>
      </c>
      <c r="F89" s="1736"/>
    </row>
    <row r="90" spans="1:6" ht="16" thickBot="1">
      <c r="A90" s="1723" t="s">
        <v>1381</v>
      </c>
      <c r="B90" s="1727" t="s">
        <v>1194</v>
      </c>
      <c r="C90" s="1728">
        <v>9.8000000000000004E-2</v>
      </c>
      <c r="D90" s="1728">
        <v>9.8000000000000004E-2</v>
      </c>
      <c r="E90" s="1728">
        <v>8.7999999999999995E-2</v>
      </c>
      <c r="F90" s="1736"/>
    </row>
    <row r="91" spans="1:6" ht="16" thickBot="1">
      <c r="A91" s="1723" t="s">
        <v>1381</v>
      </c>
      <c r="B91" s="1727" t="s">
        <v>1204</v>
      </c>
      <c r="C91" s="1728">
        <v>9.9000000000000005E-2</v>
      </c>
      <c r="D91" s="1728">
        <v>9.9000000000000005E-2</v>
      </c>
      <c r="E91" s="1728">
        <v>9.0999999999999998E-2</v>
      </c>
      <c r="F91" s="1736"/>
    </row>
    <row r="92" spans="1:6" ht="16" thickBot="1">
      <c r="A92" s="1723" t="s">
        <v>1381</v>
      </c>
      <c r="B92" s="1727" t="s">
        <v>1214</v>
      </c>
      <c r="C92" s="1728">
        <v>9.6000000000000002E-2</v>
      </c>
      <c r="D92" s="1728">
        <v>9.6000000000000002E-2</v>
      </c>
      <c r="E92" s="1728">
        <v>7.2999999999999995E-2</v>
      </c>
      <c r="F92" s="1736"/>
    </row>
    <row r="93" spans="1:6" ht="16" thickBot="1">
      <c r="A93" s="1723" t="s">
        <v>1381</v>
      </c>
      <c r="B93" s="1727" t="s">
        <v>1224</v>
      </c>
      <c r="C93" s="1728">
        <v>9.6000000000000002E-2</v>
      </c>
      <c r="D93" s="1728">
        <v>9.6000000000000002E-2</v>
      </c>
      <c r="E93" s="1728">
        <v>9.9000000000000005E-2</v>
      </c>
      <c r="F93" s="1736"/>
    </row>
    <row r="94" spans="1:6" ht="16" thickBot="1">
      <c r="A94" s="1723" t="s">
        <v>1381</v>
      </c>
      <c r="B94" s="1727" t="s">
        <v>1234</v>
      </c>
      <c r="C94" s="1728">
        <v>7.5999999999999998E-2</v>
      </c>
      <c r="D94" s="1728">
        <v>7.3999999999999996E-2</v>
      </c>
      <c r="E94" s="1728">
        <v>9.7000000000000003E-2</v>
      </c>
      <c r="F94" s="1736"/>
    </row>
    <row r="95" spans="1:6" ht="16" thickBot="1">
      <c r="A95" s="1723" t="s">
        <v>1381</v>
      </c>
      <c r="B95" s="1727" t="s">
        <v>1243</v>
      </c>
      <c r="C95" s="1728">
        <v>9.9000000000000005E-2</v>
      </c>
      <c r="D95" s="1728">
        <v>9.4E-2</v>
      </c>
      <c r="E95" s="1728">
        <v>9.6000000000000002E-2</v>
      </c>
      <c r="F95" s="1736"/>
    </row>
    <row r="96" spans="1:6" ht="16" thickBot="1">
      <c r="A96" s="1723" t="s">
        <v>1381</v>
      </c>
      <c r="B96" s="1727" t="s">
        <v>1252</v>
      </c>
      <c r="C96" s="1728">
        <v>9.9000000000000005E-2</v>
      </c>
      <c r="D96" s="1728">
        <v>9.9000000000000005E-2</v>
      </c>
      <c r="E96" s="1728">
        <v>9.9000000000000005E-2</v>
      </c>
      <c r="F96" s="1736"/>
    </row>
    <row r="97" spans="1:6" ht="16" thickBot="1">
      <c r="A97" s="1723" t="s">
        <v>1381</v>
      </c>
      <c r="B97" s="1727" t="s">
        <v>1260</v>
      </c>
      <c r="C97" s="1728">
        <v>9.8000000000000004E-2</v>
      </c>
      <c r="D97" s="1728">
        <v>9.8000000000000004E-2</v>
      </c>
      <c r="E97" s="1728">
        <v>9.7000000000000003E-2</v>
      </c>
      <c r="F97" s="1736"/>
    </row>
    <row r="98" spans="1:6" ht="16" thickBot="1">
      <c r="A98" s="1723" t="s">
        <v>1381</v>
      </c>
      <c r="B98" s="1727" t="s">
        <v>1267</v>
      </c>
      <c r="C98" s="1728">
        <v>0.1</v>
      </c>
      <c r="D98" s="1728">
        <v>0.1</v>
      </c>
      <c r="E98" s="1728">
        <v>9.7000000000000003E-2</v>
      </c>
      <c r="F98" s="1736"/>
    </row>
    <row r="99" spans="1:6" ht="16" thickBot="1">
      <c r="A99" s="1723" t="s">
        <v>1381</v>
      </c>
      <c r="B99" s="1727" t="s">
        <v>1274</v>
      </c>
      <c r="C99" s="1728">
        <v>0.1</v>
      </c>
      <c r="D99" s="1728">
        <v>0.1</v>
      </c>
      <c r="E99" s="1737"/>
      <c r="F99" s="1736"/>
    </row>
    <row r="100" spans="1:6" ht="16" thickBot="1">
      <c r="A100" s="1723" t="s">
        <v>1381</v>
      </c>
      <c r="B100" s="1727" t="s">
        <v>1281</v>
      </c>
      <c r="C100" s="1728">
        <v>0.09</v>
      </c>
      <c r="D100" s="1728">
        <v>8.8999999999999996E-2</v>
      </c>
      <c r="E100" s="1737"/>
      <c r="F100" s="1736"/>
    </row>
    <row r="101" spans="1:6" ht="16" thickBot="1">
      <c r="A101" s="1723" t="s">
        <v>1381</v>
      </c>
      <c r="B101" s="1727" t="s">
        <v>1288</v>
      </c>
      <c r="C101" s="1728">
        <v>9.8000000000000004E-2</v>
      </c>
      <c r="D101" s="1728">
        <v>9.7000000000000003E-2</v>
      </c>
      <c r="E101" s="1737"/>
      <c r="F101" s="1736"/>
    </row>
    <row r="102" spans="1:6" ht="16" thickBot="1">
      <c r="A102" s="1723" t="s">
        <v>1381</v>
      </c>
      <c r="B102" s="1727" t="s">
        <v>1883</v>
      </c>
      <c r="C102" s="1737"/>
      <c r="D102" s="1737"/>
      <c r="E102" s="1737"/>
      <c r="F102" s="1729">
        <v>0.05</v>
      </c>
    </row>
    <row r="103" spans="1:6" ht="31" thickBot="1">
      <c r="A103" s="1723" t="s">
        <v>1381</v>
      </c>
      <c r="B103" s="1727" t="s">
        <v>1884</v>
      </c>
      <c r="C103" s="1737"/>
      <c r="D103" s="1737"/>
      <c r="E103" s="1737"/>
      <c r="F103" s="1729">
        <v>0.05</v>
      </c>
    </row>
    <row r="104" spans="1:6" ht="16" thickBot="1">
      <c r="A104" s="1723" t="s">
        <v>1381</v>
      </c>
      <c r="B104" s="1727" t="s">
        <v>1885</v>
      </c>
      <c r="C104" s="1737"/>
      <c r="D104" s="1737"/>
      <c r="E104" s="1737"/>
      <c r="F104" s="1729">
        <v>0.05</v>
      </c>
    </row>
    <row r="105" spans="1:6" ht="16" thickBot="1">
      <c r="A105" s="1723" t="s">
        <v>1381</v>
      </c>
      <c r="B105" s="1727" t="s">
        <v>1886</v>
      </c>
      <c r="C105" s="1737"/>
      <c r="D105" s="1737"/>
      <c r="E105" s="1737"/>
      <c r="F105" s="1729">
        <v>0.05</v>
      </c>
    </row>
    <row r="106" spans="1:6" ht="16" thickBot="1">
      <c r="A106" s="1723" t="s">
        <v>1381</v>
      </c>
      <c r="B106" s="1727" t="s">
        <v>1887</v>
      </c>
      <c r="C106" s="1737"/>
      <c r="D106" s="1737"/>
      <c r="E106" s="1737"/>
      <c r="F106" s="1729">
        <v>0.05</v>
      </c>
    </row>
    <row r="107" spans="1:6" ht="31" thickBot="1">
      <c r="A107" s="1723" t="s">
        <v>1381</v>
      </c>
      <c r="B107" s="1727" t="s">
        <v>1888</v>
      </c>
      <c r="C107" s="1737"/>
      <c r="D107" s="1737"/>
      <c r="E107" s="1737"/>
      <c r="F107" s="1729">
        <v>0.05</v>
      </c>
    </row>
    <row r="108" spans="1:6" ht="31" thickBot="1">
      <c r="A108" s="1723" t="s">
        <v>1381</v>
      </c>
      <c r="B108" s="1727" t="s">
        <v>1889</v>
      </c>
      <c r="C108" s="1737"/>
      <c r="D108" s="1737"/>
      <c r="E108" s="1737"/>
      <c r="F108" s="1729">
        <v>0.05</v>
      </c>
    </row>
    <row r="109" spans="1:6" ht="31" thickBot="1">
      <c r="A109" s="1731" t="s">
        <v>1381</v>
      </c>
      <c r="B109" s="1738" t="s">
        <v>1890</v>
      </c>
      <c r="C109" s="1734"/>
      <c r="D109" s="1734"/>
      <c r="E109" s="1734"/>
      <c r="F109" s="1739">
        <v>0.05</v>
      </c>
    </row>
    <row r="110" spans="1:6" ht="16" thickBot="1">
      <c r="A110" s="1723" t="s">
        <v>1383</v>
      </c>
      <c r="B110" s="1724" t="s">
        <v>1891</v>
      </c>
      <c r="C110" s="1725">
        <v>0.129</v>
      </c>
      <c r="D110" s="1725">
        <v>0.129</v>
      </c>
      <c r="E110" s="1725">
        <v>0.126</v>
      </c>
      <c r="F110" s="1726">
        <v>0.13</v>
      </c>
    </row>
    <row r="111" spans="1:6" ht="16" thickBot="1">
      <c r="A111" s="1723" t="s">
        <v>1383</v>
      </c>
      <c r="B111" s="1727" t="s">
        <v>1049</v>
      </c>
      <c r="C111" s="1728">
        <v>0.11</v>
      </c>
      <c r="D111" s="1728">
        <v>0.11</v>
      </c>
      <c r="E111" s="1728">
        <v>9.9000000000000005E-2</v>
      </c>
      <c r="F111" s="1729">
        <v>0.128</v>
      </c>
    </row>
    <row r="112" spans="1:6" ht="16" thickBot="1">
      <c r="A112" s="1723" t="s">
        <v>1383</v>
      </c>
      <c r="B112" s="1727" t="s">
        <v>1063</v>
      </c>
      <c r="C112" s="1728">
        <v>0.125</v>
      </c>
      <c r="D112" s="1728">
        <v>0.125</v>
      </c>
      <c r="E112" s="1728">
        <v>0.12</v>
      </c>
      <c r="F112" s="1729">
        <v>0.125</v>
      </c>
    </row>
    <row r="113" spans="1:6" ht="16" thickBot="1">
      <c r="A113" s="1723" t="s">
        <v>1383</v>
      </c>
      <c r="B113" s="1727" t="s">
        <v>1076</v>
      </c>
      <c r="C113" s="1728">
        <v>0.13</v>
      </c>
      <c r="D113" s="1728">
        <v>0.13</v>
      </c>
      <c r="E113" s="1728">
        <v>0.13</v>
      </c>
      <c r="F113" s="1729">
        <v>0.13</v>
      </c>
    </row>
    <row r="114" spans="1:6" ht="16" thickBot="1">
      <c r="A114" s="1723" t="s">
        <v>1383</v>
      </c>
      <c r="B114" s="1727" t="s">
        <v>1090</v>
      </c>
      <c r="C114" s="1728">
        <v>0.123</v>
      </c>
      <c r="D114" s="1728">
        <v>0.123</v>
      </c>
      <c r="E114" s="1728">
        <v>0.12</v>
      </c>
      <c r="F114" s="1729">
        <v>0.13</v>
      </c>
    </row>
    <row r="115" spans="1:6" ht="16" thickBot="1">
      <c r="A115" s="1723" t="s">
        <v>1383</v>
      </c>
      <c r="B115" s="1727" t="s">
        <v>1101</v>
      </c>
      <c r="C115" s="1728">
        <v>0.125</v>
      </c>
      <c r="D115" s="1728">
        <v>0.125</v>
      </c>
      <c r="E115" s="1728">
        <v>0.11700000000000001</v>
      </c>
      <c r="F115" s="1729">
        <v>0.13</v>
      </c>
    </row>
    <row r="116" spans="1:6" ht="16" thickBot="1">
      <c r="A116" s="1723" t="s">
        <v>1383</v>
      </c>
      <c r="B116" s="1727" t="s">
        <v>1112</v>
      </c>
      <c r="C116" s="1728">
        <v>0.11700000000000001</v>
      </c>
      <c r="D116" s="1728">
        <v>0.11700000000000001</v>
      </c>
      <c r="E116" s="1728">
        <v>8.7999999999999995E-2</v>
      </c>
      <c r="F116" s="1729">
        <v>0.13</v>
      </c>
    </row>
    <row r="117" spans="1:6" ht="16" thickBot="1">
      <c r="A117" s="1723" t="s">
        <v>1383</v>
      </c>
      <c r="B117" s="1727" t="s">
        <v>1123</v>
      </c>
      <c r="C117" s="1728">
        <v>0.13</v>
      </c>
      <c r="D117" s="1728">
        <v>0.13</v>
      </c>
      <c r="E117" s="1728">
        <v>0.129</v>
      </c>
      <c r="F117" s="1729">
        <v>0.13</v>
      </c>
    </row>
    <row r="118" spans="1:6" ht="16" thickBot="1">
      <c r="A118" s="1723" t="s">
        <v>1383</v>
      </c>
      <c r="B118" s="1727" t="s">
        <v>1135</v>
      </c>
      <c r="C118" s="1728">
        <v>0.123</v>
      </c>
      <c r="D118" s="1728">
        <v>0.123</v>
      </c>
      <c r="E118" s="1728">
        <v>0.11600000000000001</v>
      </c>
      <c r="F118" s="1729">
        <v>0.13</v>
      </c>
    </row>
    <row r="119" spans="1:6" ht="16" thickBot="1">
      <c r="A119" s="1723" t="s">
        <v>1383</v>
      </c>
      <c r="B119" s="1727" t="s">
        <v>1145</v>
      </c>
      <c r="C119" s="1728">
        <v>0.127</v>
      </c>
      <c r="D119" s="1728">
        <v>0.127</v>
      </c>
      <c r="E119" s="1728">
        <v>0.124</v>
      </c>
      <c r="F119" s="1729">
        <v>0.13</v>
      </c>
    </row>
    <row r="120" spans="1:6" ht="16" thickBot="1">
      <c r="A120" s="1723" t="s">
        <v>1383</v>
      </c>
      <c r="B120" s="1727" t="s">
        <v>1155</v>
      </c>
      <c r="C120" s="1728">
        <v>0.125</v>
      </c>
      <c r="D120" s="1728">
        <v>0.125</v>
      </c>
      <c r="E120" s="1728">
        <v>0.122</v>
      </c>
      <c r="F120" s="1729">
        <v>0.13</v>
      </c>
    </row>
    <row r="121" spans="1:6" ht="16" thickBot="1">
      <c r="A121" s="1723" t="s">
        <v>1383</v>
      </c>
      <c r="B121" s="1727" t="s">
        <v>1165</v>
      </c>
      <c r="C121" s="1728">
        <v>0.13</v>
      </c>
      <c r="D121" s="1728">
        <v>0.13</v>
      </c>
      <c r="E121" s="1728">
        <v>0.13</v>
      </c>
      <c r="F121" s="1729">
        <v>0.13</v>
      </c>
    </row>
    <row r="122" spans="1:6" ht="16" thickBot="1">
      <c r="A122" s="1723" t="s">
        <v>1383</v>
      </c>
      <c r="B122" s="1727" t="s">
        <v>1175</v>
      </c>
      <c r="C122" s="1728">
        <v>0.13</v>
      </c>
      <c r="D122" s="1728">
        <v>0.13</v>
      </c>
      <c r="E122" s="1728">
        <v>0.125</v>
      </c>
      <c r="F122" s="1729">
        <v>0.13</v>
      </c>
    </row>
    <row r="123" spans="1:6" ht="16" thickBot="1">
      <c r="A123" s="1723" t="s">
        <v>1383</v>
      </c>
      <c r="B123" s="1727" t="s">
        <v>1185</v>
      </c>
      <c r="C123" s="1728">
        <v>0.129</v>
      </c>
      <c r="D123" s="1728">
        <v>0.129</v>
      </c>
      <c r="E123" s="1728">
        <v>0.123</v>
      </c>
      <c r="F123" s="1729">
        <v>0.13</v>
      </c>
    </row>
    <row r="124" spans="1:6" ht="16" thickBot="1">
      <c r="A124" s="1723" t="s">
        <v>1383</v>
      </c>
      <c r="B124" s="1727" t="s">
        <v>1195</v>
      </c>
      <c r="C124" s="1728">
        <v>0.10199999999999999</v>
      </c>
      <c r="D124" s="1728">
        <v>0.10100000000000001</v>
      </c>
      <c r="E124" s="1728">
        <v>0.08</v>
      </c>
      <c r="F124" s="1736"/>
    </row>
    <row r="125" spans="1:6" ht="16" thickBot="1">
      <c r="A125" s="1723" t="s">
        <v>1383</v>
      </c>
      <c r="B125" s="1727" t="s">
        <v>1205</v>
      </c>
      <c r="C125" s="1728">
        <v>0.13</v>
      </c>
      <c r="D125" s="1728">
        <v>0.13</v>
      </c>
      <c r="E125" s="1728">
        <v>0.129</v>
      </c>
      <c r="F125" s="1736"/>
    </row>
    <row r="126" spans="1:6" ht="16" thickBot="1">
      <c r="A126" s="1723" t="s">
        <v>1383</v>
      </c>
      <c r="B126" s="1727" t="s">
        <v>1215</v>
      </c>
      <c r="C126" s="1728">
        <v>0.13</v>
      </c>
      <c r="D126" s="1728">
        <v>0.13</v>
      </c>
      <c r="E126" s="1728">
        <v>0.126</v>
      </c>
      <c r="F126" s="1736"/>
    </row>
    <row r="127" spans="1:6" ht="16" thickBot="1">
      <c r="A127" s="1723" t="s">
        <v>1383</v>
      </c>
      <c r="B127" s="1727" t="s">
        <v>1225</v>
      </c>
      <c r="C127" s="1728">
        <v>0.125</v>
      </c>
      <c r="D127" s="1728">
        <v>0.125</v>
      </c>
      <c r="E127" s="1728">
        <v>0.121</v>
      </c>
      <c r="F127" s="1736"/>
    </row>
    <row r="128" spans="1:6" ht="16" thickBot="1">
      <c r="A128" s="1723" t="s">
        <v>1383</v>
      </c>
      <c r="B128" s="1727" t="s">
        <v>1235</v>
      </c>
      <c r="C128" s="1728">
        <v>0.12</v>
      </c>
      <c r="D128" s="1728">
        <v>0.12</v>
      </c>
      <c r="E128" s="1728">
        <v>0.105</v>
      </c>
      <c r="F128" s="1736"/>
    </row>
    <row r="129" spans="1:6" ht="16" thickBot="1">
      <c r="A129" s="1723" t="s">
        <v>1383</v>
      </c>
      <c r="B129" s="1727" t="s">
        <v>1244</v>
      </c>
      <c r="C129" s="1728">
        <v>0.13</v>
      </c>
      <c r="D129" s="1728">
        <v>0.13</v>
      </c>
      <c r="E129" s="1728">
        <v>0.126</v>
      </c>
      <c r="F129" s="1736"/>
    </row>
    <row r="130" spans="1:6" ht="16" thickBot="1">
      <c r="A130" s="1723" t="s">
        <v>1383</v>
      </c>
      <c r="B130" s="1727" t="s">
        <v>1253</v>
      </c>
      <c r="C130" s="1728">
        <v>0.125</v>
      </c>
      <c r="D130" s="1728">
        <v>0.125</v>
      </c>
      <c r="E130" s="1728">
        <v>0.122</v>
      </c>
      <c r="F130" s="1736"/>
    </row>
    <row r="131" spans="1:6" ht="16" thickBot="1">
      <c r="A131" s="1723" t="s">
        <v>1383</v>
      </c>
      <c r="B131" s="1727" t="s">
        <v>1261</v>
      </c>
      <c r="C131" s="1728">
        <v>0.127</v>
      </c>
      <c r="D131" s="1728">
        <v>0.126</v>
      </c>
      <c r="E131" s="1728">
        <v>0.123</v>
      </c>
      <c r="F131" s="1736"/>
    </row>
    <row r="132" spans="1:6" ht="16" thickBot="1">
      <c r="A132" s="1723" t="s">
        <v>1383</v>
      </c>
      <c r="B132" s="1727" t="s">
        <v>1268</v>
      </c>
      <c r="C132" s="1728">
        <v>9.0999999999999998E-2</v>
      </c>
      <c r="D132" s="1728">
        <v>0.121</v>
      </c>
      <c r="E132" s="1728">
        <v>9.9000000000000005E-2</v>
      </c>
      <c r="F132" s="1736"/>
    </row>
    <row r="133" spans="1:6" ht="16" thickBot="1">
      <c r="A133" s="1723" t="s">
        <v>1383</v>
      </c>
      <c r="B133" s="1727" t="s">
        <v>1275</v>
      </c>
      <c r="C133" s="1728">
        <v>0.13</v>
      </c>
      <c r="D133" s="1728">
        <v>0.13</v>
      </c>
      <c r="E133" s="1728">
        <v>0.129</v>
      </c>
      <c r="F133" s="1736"/>
    </row>
    <row r="134" spans="1:6" ht="16" thickBot="1">
      <c r="A134" s="1723" t="s">
        <v>1383</v>
      </c>
      <c r="B134" s="1727" t="s">
        <v>1892</v>
      </c>
      <c r="C134" s="1728">
        <v>6.8000000000000005E-2</v>
      </c>
      <c r="D134" s="1728">
        <v>6.5000000000000002E-2</v>
      </c>
      <c r="E134" s="1728">
        <v>6.5000000000000002E-2</v>
      </c>
      <c r="F134" s="1729">
        <v>0.13</v>
      </c>
    </row>
    <row r="135" spans="1:6" ht="16" thickBot="1">
      <c r="A135" s="1723" t="s">
        <v>1383</v>
      </c>
      <c r="B135" s="1727" t="s">
        <v>1289</v>
      </c>
      <c r="C135" s="1728">
        <v>0.123</v>
      </c>
      <c r="D135" s="1728">
        <v>0.123</v>
      </c>
      <c r="E135" s="1728">
        <v>0.11</v>
      </c>
      <c r="F135" s="1736"/>
    </row>
    <row r="136" spans="1:6" ht="16" thickBot="1">
      <c r="A136" s="1723" t="s">
        <v>1383</v>
      </c>
      <c r="B136" s="1727" t="s">
        <v>1296</v>
      </c>
      <c r="C136" s="1728">
        <v>0.13</v>
      </c>
      <c r="D136" s="1728">
        <v>0.13</v>
      </c>
      <c r="E136" s="1728">
        <v>0.125</v>
      </c>
      <c r="F136" s="1736"/>
    </row>
    <row r="137" spans="1:6" ht="16" thickBot="1">
      <c r="A137" s="1723" t="s">
        <v>1383</v>
      </c>
      <c r="B137" s="1727" t="s">
        <v>1303</v>
      </c>
      <c r="C137" s="1728">
        <v>0.121</v>
      </c>
      <c r="D137" s="1728">
        <v>0.122</v>
      </c>
      <c r="E137" s="1728">
        <v>0.115</v>
      </c>
      <c r="F137" s="1736"/>
    </row>
    <row r="138" spans="1:6" ht="16" thickBot="1">
      <c r="A138" s="1723" t="s">
        <v>1383</v>
      </c>
      <c r="B138" s="1727" t="s">
        <v>1893</v>
      </c>
      <c r="C138" s="1728">
        <v>0.105</v>
      </c>
      <c r="D138" s="1728">
        <v>0.125</v>
      </c>
      <c r="E138" s="1728">
        <v>0.112</v>
      </c>
      <c r="F138" s="1736"/>
    </row>
    <row r="139" spans="1:6" ht="16" thickBot="1">
      <c r="A139" s="1723" t="s">
        <v>1383</v>
      </c>
      <c r="B139" s="1727" t="s">
        <v>1894</v>
      </c>
      <c r="C139" s="1728">
        <v>0.127</v>
      </c>
      <c r="D139" s="1728">
        <v>0.127</v>
      </c>
      <c r="E139" s="1728">
        <v>0.122</v>
      </c>
      <c r="F139" s="1729">
        <v>0.13</v>
      </c>
    </row>
    <row r="140" spans="1:6" ht="16" thickBot="1">
      <c r="A140" s="1723" t="s">
        <v>1383</v>
      </c>
      <c r="B140" s="1727" t="s">
        <v>1895</v>
      </c>
      <c r="C140" s="1728">
        <v>0.125</v>
      </c>
      <c r="D140" s="1728">
        <v>0.125</v>
      </c>
      <c r="E140" s="1728">
        <v>0.11899999999999999</v>
      </c>
      <c r="F140" s="1729">
        <v>0.13</v>
      </c>
    </row>
    <row r="141" spans="1:6" ht="16" thickBot="1">
      <c r="A141" s="1723" t="s">
        <v>1383</v>
      </c>
      <c r="B141" s="1727" t="s">
        <v>1322</v>
      </c>
      <c r="C141" s="1728">
        <v>0.125</v>
      </c>
      <c r="D141" s="1728">
        <v>0.125</v>
      </c>
      <c r="E141" s="1728">
        <v>0.11700000000000001</v>
      </c>
      <c r="F141" s="1736"/>
    </row>
    <row r="142" spans="1:6" ht="16" thickBot="1">
      <c r="A142" s="1723" t="s">
        <v>1383</v>
      </c>
      <c r="B142" s="1727" t="s">
        <v>1327</v>
      </c>
      <c r="C142" s="1728">
        <v>0.125</v>
      </c>
      <c r="D142" s="1728">
        <v>0.125</v>
      </c>
      <c r="E142" s="1728">
        <v>0.115</v>
      </c>
      <c r="F142" s="1736"/>
    </row>
    <row r="143" spans="1:6" ht="16" thickBot="1">
      <c r="A143" s="1723" t="s">
        <v>1383</v>
      </c>
      <c r="B143" s="1727" t="s">
        <v>1332</v>
      </c>
      <c r="C143" s="1728">
        <v>0.121</v>
      </c>
      <c r="D143" s="1728">
        <v>0.121</v>
      </c>
      <c r="E143" s="1728">
        <v>0.108</v>
      </c>
      <c r="F143" s="1736"/>
    </row>
    <row r="144" spans="1:6" ht="16" thickBot="1">
      <c r="A144" s="1723" t="s">
        <v>1383</v>
      </c>
      <c r="B144" s="1740" t="s">
        <v>1896</v>
      </c>
      <c r="C144" s="1741">
        <v>0.126</v>
      </c>
      <c r="D144" s="1741">
        <v>0.126</v>
      </c>
      <c r="E144" s="1741">
        <v>0.121</v>
      </c>
      <c r="F144" s="1736"/>
    </row>
    <row r="145" spans="1:6" ht="16" thickBot="1">
      <c r="A145" s="1731" t="s">
        <v>1383</v>
      </c>
      <c r="B145" s="1742" t="s">
        <v>1897</v>
      </c>
      <c r="C145" s="1743"/>
      <c r="D145" s="1743"/>
      <c r="E145" s="1743"/>
      <c r="F145" s="1744">
        <v>0.05</v>
      </c>
    </row>
    <row r="146" spans="1:6" ht="31" thickBot="1">
      <c r="A146" s="1745" t="s">
        <v>1383</v>
      </c>
      <c r="B146" s="1730" t="s">
        <v>1898</v>
      </c>
      <c r="C146" s="1737"/>
      <c r="D146" s="1737"/>
      <c r="E146" s="1737"/>
      <c r="F146" s="1746">
        <v>0.05</v>
      </c>
    </row>
    <row r="147" spans="1:6" ht="31" thickBot="1">
      <c r="A147" s="1723" t="s">
        <v>1383</v>
      </c>
      <c r="B147" s="1727" t="s">
        <v>1899</v>
      </c>
      <c r="C147" s="1737"/>
      <c r="D147" s="1737"/>
      <c r="E147" s="1737"/>
      <c r="F147" s="1729">
        <v>0.05</v>
      </c>
    </row>
    <row r="148" spans="1:6" ht="31" thickBot="1">
      <c r="A148" s="1723" t="s">
        <v>1383</v>
      </c>
      <c r="B148" s="1727" t="s">
        <v>1900</v>
      </c>
      <c r="C148" s="1737"/>
      <c r="D148" s="1737"/>
      <c r="E148" s="1737"/>
      <c r="F148" s="1729">
        <v>0.05</v>
      </c>
    </row>
    <row r="149" spans="1:6" ht="31" thickBot="1">
      <c r="A149" s="1723" t="s">
        <v>1383</v>
      </c>
      <c r="B149" s="1727" t="s">
        <v>1901</v>
      </c>
      <c r="C149" s="1737"/>
      <c r="D149" s="1737"/>
      <c r="E149" s="1737"/>
      <c r="F149" s="1729">
        <v>0.05</v>
      </c>
    </row>
    <row r="150" spans="1:6" ht="31" thickBot="1">
      <c r="A150" s="1723" t="s">
        <v>1383</v>
      </c>
      <c r="B150" s="1727" t="s">
        <v>1902</v>
      </c>
      <c r="C150" s="1737"/>
      <c r="D150" s="1737"/>
      <c r="E150" s="1737"/>
      <c r="F150" s="1729">
        <v>0.05</v>
      </c>
    </row>
    <row r="151" spans="1:6" ht="31" thickBot="1">
      <c r="A151" s="1723" t="s">
        <v>1383</v>
      </c>
      <c r="B151" s="1727" t="s">
        <v>1903</v>
      </c>
      <c r="C151" s="1737"/>
      <c r="D151" s="1737"/>
      <c r="E151" s="1737"/>
      <c r="F151" s="1729">
        <v>0.05</v>
      </c>
    </row>
    <row r="152" spans="1:6" ht="31" thickBot="1">
      <c r="A152" s="1723" t="s">
        <v>1383</v>
      </c>
      <c r="B152" s="1727" t="s">
        <v>1365</v>
      </c>
      <c r="C152" s="1737"/>
      <c r="D152" s="1737"/>
      <c r="E152" s="1737"/>
      <c r="F152" s="1729">
        <v>0.05</v>
      </c>
    </row>
    <row r="153" spans="1:6" ht="16" thickBot="1">
      <c r="A153" s="1723" t="s">
        <v>1383</v>
      </c>
      <c r="B153" s="1727" t="s">
        <v>1904</v>
      </c>
      <c r="C153" s="1737"/>
      <c r="D153" s="1737"/>
      <c r="E153" s="1737"/>
      <c r="F153" s="1729">
        <v>0.05</v>
      </c>
    </row>
    <row r="154" spans="1:6" ht="16" thickBot="1">
      <c r="A154" s="1723" t="s">
        <v>1383</v>
      </c>
      <c r="B154" s="1727" t="s">
        <v>1905</v>
      </c>
      <c r="C154" s="1737"/>
      <c r="D154" s="1737"/>
      <c r="E154" s="1737"/>
      <c r="F154" s="1729">
        <v>0.05</v>
      </c>
    </row>
    <row r="155" spans="1:6" ht="31" thickBot="1">
      <c r="A155" s="1723" t="s">
        <v>1383</v>
      </c>
      <c r="B155" s="1727" t="s">
        <v>1906</v>
      </c>
      <c r="C155" s="1737"/>
      <c r="D155" s="1737"/>
      <c r="E155" s="1737"/>
      <c r="F155" s="1729">
        <v>0.05</v>
      </c>
    </row>
    <row r="156" spans="1:6" ht="31" thickBot="1">
      <c r="A156" s="1723" t="s">
        <v>1383</v>
      </c>
      <c r="B156" s="1727" t="s">
        <v>1907</v>
      </c>
      <c r="C156" s="1737"/>
      <c r="D156" s="1737"/>
      <c r="E156" s="1737"/>
      <c r="F156" s="1729">
        <v>0.05</v>
      </c>
    </row>
    <row r="157" spans="1:6" ht="16" thickBot="1">
      <c r="A157" s="1731" t="s">
        <v>1383</v>
      </c>
      <c r="B157" s="1738" t="s">
        <v>1908</v>
      </c>
      <c r="C157" s="1734"/>
      <c r="D157" s="1734"/>
      <c r="E157" s="1734"/>
      <c r="F157" s="1739">
        <v>0.05</v>
      </c>
    </row>
    <row r="158" spans="1:6" ht="16" thickBot="1">
      <c r="A158" s="1723" t="s">
        <v>1385</v>
      </c>
      <c r="B158" s="1724" t="s">
        <v>1909</v>
      </c>
      <c r="C158" s="1725">
        <v>0.13</v>
      </c>
      <c r="D158" s="1725">
        <v>0.13</v>
      </c>
      <c r="E158" s="1725">
        <v>0.13</v>
      </c>
      <c r="F158" s="1726">
        <v>0.13</v>
      </c>
    </row>
    <row r="159" spans="1:6" ht="16" thickBot="1">
      <c r="A159" s="1723" t="s">
        <v>1385</v>
      </c>
      <c r="B159" s="1727" t="s">
        <v>1050</v>
      </c>
      <c r="C159" s="1728">
        <v>0.13</v>
      </c>
      <c r="D159" s="1728">
        <v>0.13</v>
      </c>
      <c r="E159" s="1728">
        <v>0.13</v>
      </c>
      <c r="F159" s="1729">
        <v>0.13</v>
      </c>
    </row>
    <row r="160" spans="1:6" ht="16" thickBot="1">
      <c r="A160" s="1723" t="s">
        <v>1385</v>
      </c>
      <c r="B160" s="1727" t="s">
        <v>1064</v>
      </c>
      <c r="C160" s="1728">
        <v>0.13</v>
      </c>
      <c r="D160" s="1728">
        <v>0.13</v>
      </c>
      <c r="E160" s="1728">
        <v>0.129</v>
      </c>
      <c r="F160" s="1729">
        <v>0.13</v>
      </c>
    </row>
    <row r="161" spans="1:6" ht="16" thickBot="1">
      <c r="A161" s="1723" t="s">
        <v>1385</v>
      </c>
      <c r="B161" s="1727" t="s">
        <v>1077</v>
      </c>
      <c r="C161" s="1728">
        <v>0.128</v>
      </c>
      <c r="D161" s="1728">
        <v>0.128</v>
      </c>
      <c r="E161" s="1728">
        <v>0.125</v>
      </c>
      <c r="F161" s="1729">
        <v>0.13</v>
      </c>
    </row>
    <row r="162" spans="1:6" ht="16" thickBot="1">
      <c r="A162" s="1723" t="s">
        <v>1385</v>
      </c>
      <c r="B162" s="1727" t="s">
        <v>1091</v>
      </c>
      <c r="C162" s="1728">
        <v>0.122</v>
      </c>
      <c r="D162" s="1728">
        <v>0.122</v>
      </c>
      <c r="E162" s="1728">
        <v>0.126</v>
      </c>
      <c r="F162" s="1729">
        <v>0.122</v>
      </c>
    </row>
    <row r="163" spans="1:6" ht="16" thickBot="1">
      <c r="A163" s="1723" t="s">
        <v>1385</v>
      </c>
      <c r="B163" s="1727" t="s">
        <v>1102</v>
      </c>
      <c r="C163" s="1728">
        <v>0.13</v>
      </c>
      <c r="D163" s="1728">
        <v>0.13</v>
      </c>
      <c r="E163" s="1728">
        <v>0.125</v>
      </c>
      <c r="F163" s="1729">
        <v>0.13</v>
      </c>
    </row>
    <row r="164" spans="1:6" ht="16" thickBot="1">
      <c r="A164" s="1723" t="s">
        <v>1385</v>
      </c>
      <c r="B164" s="1727" t="s">
        <v>1113</v>
      </c>
      <c r="C164" s="1728">
        <v>0.13</v>
      </c>
      <c r="D164" s="1728">
        <v>0.13</v>
      </c>
      <c r="E164" s="1728">
        <v>0.13</v>
      </c>
      <c r="F164" s="1729">
        <v>0.13</v>
      </c>
    </row>
    <row r="165" spans="1:6" ht="16" thickBot="1">
      <c r="A165" s="1723" t="s">
        <v>1385</v>
      </c>
      <c r="B165" s="1727" t="s">
        <v>1124</v>
      </c>
      <c r="C165" s="1728">
        <v>0.13</v>
      </c>
      <c r="D165" s="1728">
        <v>0.13</v>
      </c>
      <c r="E165" s="1728">
        <v>0.124</v>
      </c>
      <c r="F165" s="1729">
        <v>0.13</v>
      </c>
    </row>
    <row r="166" spans="1:6" ht="16" thickBot="1">
      <c r="A166" s="1723" t="s">
        <v>1385</v>
      </c>
      <c r="B166" s="1727" t="s">
        <v>1136</v>
      </c>
      <c r="C166" s="1728">
        <v>0.13</v>
      </c>
      <c r="D166" s="1728">
        <v>0.13</v>
      </c>
      <c r="E166" s="1728">
        <v>0.13</v>
      </c>
      <c r="F166" s="1729">
        <v>0.13</v>
      </c>
    </row>
    <row r="167" spans="1:6" ht="16" thickBot="1">
      <c r="A167" s="1723" t="s">
        <v>1385</v>
      </c>
      <c r="B167" s="1727" t="s">
        <v>1146</v>
      </c>
      <c r="C167" s="1728">
        <v>0.125</v>
      </c>
      <c r="D167" s="1728">
        <v>0.125</v>
      </c>
      <c r="E167" s="1728">
        <v>0.121</v>
      </c>
      <c r="F167" s="1736"/>
    </row>
    <row r="168" spans="1:6" ht="16" thickBot="1">
      <c r="A168" s="1723" t="s">
        <v>1385</v>
      </c>
      <c r="B168" s="1727" t="s">
        <v>1156</v>
      </c>
      <c r="C168" s="1728">
        <v>0.13</v>
      </c>
      <c r="D168" s="1728">
        <v>0.13</v>
      </c>
      <c r="E168" s="1728">
        <v>0.126</v>
      </c>
      <c r="F168" s="1736"/>
    </row>
    <row r="169" spans="1:6" ht="16" thickBot="1">
      <c r="A169" s="1723" t="s">
        <v>1385</v>
      </c>
      <c r="B169" s="1727" t="s">
        <v>1166</v>
      </c>
      <c r="C169" s="1728">
        <v>0.128</v>
      </c>
      <c r="D169" s="1728">
        <v>0.129</v>
      </c>
      <c r="E169" s="1728">
        <v>0.13</v>
      </c>
      <c r="F169" s="1736"/>
    </row>
    <row r="170" spans="1:6" ht="16" thickBot="1">
      <c r="A170" s="1723" t="s">
        <v>1385</v>
      </c>
      <c r="B170" s="1727" t="s">
        <v>1176</v>
      </c>
      <c r="C170" s="1728">
        <v>0.14099999999999999</v>
      </c>
      <c r="D170" s="1728">
        <v>0.13</v>
      </c>
      <c r="E170" s="1728">
        <v>0.125</v>
      </c>
      <c r="F170" s="1736"/>
    </row>
    <row r="171" spans="1:6" ht="16" thickBot="1">
      <c r="A171" s="1723" t="s">
        <v>1385</v>
      </c>
      <c r="B171" s="1727" t="s">
        <v>1910</v>
      </c>
      <c r="C171" s="1728">
        <v>0.127</v>
      </c>
      <c r="D171" s="1728">
        <v>0.126</v>
      </c>
      <c r="E171" s="1728">
        <v>0.126</v>
      </c>
      <c r="F171" s="1729">
        <v>0.11799999999999999</v>
      </c>
    </row>
    <row r="172" spans="1:6" ht="16" thickBot="1">
      <c r="A172" s="1723" t="s">
        <v>1385</v>
      </c>
      <c r="B172" s="1727" t="s">
        <v>1911</v>
      </c>
      <c r="C172" s="1728">
        <v>0.13</v>
      </c>
      <c r="D172" s="1728">
        <v>0.13</v>
      </c>
      <c r="E172" s="1728">
        <v>0.13</v>
      </c>
      <c r="F172" s="1736"/>
    </row>
    <row r="173" spans="1:6" ht="16" thickBot="1">
      <c r="A173" s="1723" t="s">
        <v>1385</v>
      </c>
      <c r="B173" s="1727" t="s">
        <v>1206</v>
      </c>
      <c r="C173" s="1728">
        <v>0.13</v>
      </c>
      <c r="D173" s="1728">
        <v>0.13</v>
      </c>
      <c r="E173" s="1728">
        <v>0.13</v>
      </c>
      <c r="F173" s="1736"/>
    </row>
    <row r="174" spans="1:6" ht="16" thickBot="1">
      <c r="A174" s="1723" t="s">
        <v>1385</v>
      </c>
      <c r="B174" s="1727" t="s">
        <v>1912</v>
      </c>
      <c r="C174" s="1728">
        <v>0.13</v>
      </c>
      <c r="D174" s="1728">
        <v>0.13</v>
      </c>
      <c r="E174" s="1728">
        <v>0.13</v>
      </c>
      <c r="F174" s="1729">
        <v>0.13</v>
      </c>
    </row>
    <row r="175" spans="1:6" ht="16" thickBot="1">
      <c r="A175" s="1723" t="s">
        <v>1385</v>
      </c>
      <c r="B175" s="1727" t="s">
        <v>1913</v>
      </c>
      <c r="C175" s="1728">
        <v>0.13</v>
      </c>
      <c r="D175" s="1728">
        <v>0.13</v>
      </c>
      <c r="E175" s="1728">
        <v>0.13</v>
      </c>
      <c r="F175" s="1729">
        <v>0.13</v>
      </c>
    </row>
    <row r="176" spans="1:6" ht="16" thickBot="1">
      <c r="A176" s="1723" t="s">
        <v>1385</v>
      </c>
      <c r="B176" s="1727" t="s">
        <v>1236</v>
      </c>
      <c r="C176" s="1728">
        <v>0.13</v>
      </c>
      <c r="D176" s="1728">
        <v>0.13</v>
      </c>
      <c r="E176" s="1728">
        <v>0.13</v>
      </c>
      <c r="F176" s="1729">
        <v>0.13</v>
      </c>
    </row>
    <row r="177" spans="1:6" ht="16" thickBot="1">
      <c r="A177" s="1723" t="s">
        <v>1385</v>
      </c>
      <c r="B177" s="1727" t="s">
        <v>1914</v>
      </c>
      <c r="C177" s="1728">
        <v>0.13</v>
      </c>
      <c r="D177" s="1728">
        <v>0.13</v>
      </c>
      <c r="E177" s="1728">
        <v>0.13</v>
      </c>
      <c r="F177" s="1729">
        <v>0.13</v>
      </c>
    </row>
    <row r="178" spans="1:6" ht="16" thickBot="1">
      <c r="A178" s="1723" t="s">
        <v>1385</v>
      </c>
      <c r="B178" s="1727" t="s">
        <v>1254</v>
      </c>
      <c r="C178" s="1728">
        <v>0.13</v>
      </c>
      <c r="D178" s="1728">
        <v>0.13</v>
      </c>
      <c r="E178" s="1728">
        <v>0.13</v>
      </c>
      <c r="F178" s="1729">
        <v>0.127</v>
      </c>
    </row>
    <row r="179" spans="1:6" ht="16" thickBot="1">
      <c r="A179" s="1723" t="s">
        <v>1385</v>
      </c>
      <c r="B179" s="1727" t="s">
        <v>1262</v>
      </c>
      <c r="C179" s="1728">
        <v>0.13</v>
      </c>
      <c r="D179" s="1728">
        <v>0.13</v>
      </c>
      <c r="E179" s="1728">
        <v>0.13</v>
      </c>
      <c r="F179" s="1736"/>
    </row>
    <row r="180" spans="1:6" ht="16" thickBot="1">
      <c r="A180" s="1723" t="s">
        <v>1385</v>
      </c>
      <c r="B180" s="1727" t="s">
        <v>1915</v>
      </c>
      <c r="C180" s="1728">
        <v>0.13</v>
      </c>
      <c r="D180" s="1728">
        <v>0.13</v>
      </c>
      <c r="E180" s="1728">
        <v>0.125</v>
      </c>
      <c r="F180" s="1729">
        <v>0.13</v>
      </c>
    </row>
    <row r="181" spans="1:6" ht="16" thickBot="1">
      <c r="A181" s="1723" t="s">
        <v>1385</v>
      </c>
      <c r="B181" s="1727" t="s">
        <v>1276</v>
      </c>
      <c r="C181" s="1728">
        <v>0.122</v>
      </c>
      <c r="D181" s="1728">
        <v>0.123</v>
      </c>
      <c r="E181" s="1728">
        <v>0.126</v>
      </c>
      <c r="F181" s="1729">
        <v>0.121</v>
      </c>
    </row>
    <row r="182" spans="1:6" ht="16" thickBot="1">
      <c r="A182" s="1723" t="s">
        <v>1385</v>
      </c>
      <c r="B182" s="1727" t="s">
        <v>1283</v>
      </c>
      <c r="C182" s="1728">
        <v>0.125</v>
      </c>
      <c r="D182" s="1728">
        <v>0.125</v>
      </c>
      <c r="E182" s="1728">
        <v>0.11700000000000001</v>
      </c>
      <c r="F182" s="1729">
        <v>0.13</v>
      </c>
    </row>
    <row r="183" spans="1:6" ht="16" thickBot="1">
      <c r="A183" s="1723" t="s">
        <v>1385</v>
      </c>
      <c r="B183" s="1727" t="s">
        <v>1290</v>
      </c>
      <c r="C183" s="1728">
        <v>0.127</v>
      </c>
      <c r="D183" s="1728">
        <v>0.127</v>
      </c>
      <c r="E183" s="1728">
        <v>0.128</v>
      </c>
      <c r="F183" s="1736"/>
    </row>
    <row r="184" spans="1:6" ht="16" thickBot="1">
      <c r="A184" s="1723" t="s">
        <v>1385</v>
      </c>
      <c r="B184" s="1727" t="s">
        <v>1297</v>
      </c>
      <c r="C184" s="1728">
        <v>0.125</v>
      </c>
      <c r="D184" s="1728">
        <v>0.125</v>
      </c>
      <c r="E184" s="1728">
        <v>0.127</v>
      </c>
      <c r="F184" s="1736"/>
    </row>
    <row r="185" spans="1:6" ht="16" thickBot="1">
      <c r="A185" s="1723" t="s">
        <v>1385</v>
      </c>
      <c r="B185" s="1727" t="s">
        <v>1916</v>
      </c>
      <c r="C185" s="1728">
        <v>0.127</v>
      </c>
      <c r="D185" s="1728">
        <v>0.127</v>
      </c>
      <c r="E185" s="1728">
        <v>0.128</v>
      </c>
      <c r="F185" s="1729">
        <v>0.13</v>
      </c>
    </row>
    <row r="186" spans="1:6" ht="31" thickBot="1">
      <c r="A186" s="1723" t="s">
        <v>1385</v>
      </c>
      <c r="B186" s="1727" t="s">
        <v>1917</v>
      </c>
      <c r="C186" s="1737"/>
      <c r="D186" s="1737"/>
      <c r="E186" s="1737"/>
      <c r="F186" s="1729">
        <v>0.05</v>
      </c>
    </row>
    <row r="187" spans="1:6" ht="16" thickBot="1">
      <c r="A187" s="1723" t="s">
        <v>1385</v>
      </c>
      <c r="B187" s="1727" t="s">
        <v>1918</v>
      </c>
      <c r="C187" s="1737"/>
      <c r="D187" s="1737"/>
      <c r="E187" s="1737"/>
      <c r="F187" s="1729">
        <v>0.05</v>
      </c>
    </row>
    <row r="188" spans="1:6" ht="16" thickBot="1">
      <c r="A188" s="1723" t="s">
        <v>1385</v>
      </c>
      <c r="B188" s="1727" t="s">
        <v>1919</v>
      </c>
      <c r="C188" s="1737"/>
      <c r="D188" s="1737"/>
      <c r="E188" s="1737"/>
      <c r="F188" s="1729">
        <v>0.05</v>
      </c>
    </row>
    <row r="189" spans="1:6" ht="31" thickBot="1">
      <c r="A189" s="1723" t="s">
        <v>1385</v>
      </c>
      <c r="B189" s="1727" t="s">
        <v>1920</v>
      </c>
      <c r="C189" s="1737"/>
      <c r="D189" s="1737"/>
      <c r="E189" s="1737"/>
      <c r="F189" s="1729">
        <v>0.05</v>
      </c>
    </row>
    <row r="190" spans="1:6" ht="31" thickBot="1">
      <c r="A190" s="1723" t="s">
        <v>1385</v>
      </c>
      <c r="B190" s="1727" t="s">
        <v>1921</v>
      </c>
      <c r="C190" s="1737"/>
      <c r="D190" s="1737"/>
      <c r="E190" s="1737"/>
      <c r="F190" s="1729">
        <v>0.05</v>
      </c>
    </row>
    <row r="191" spans="1:6" ht="31" thickBot="1">
      <c r="A191" s="1723" t="s">
        <v>1385</v>
      </c>
      <c r="B191" s="1727" t="s">
        <v>1922</v>
      </c>
      <c r="C191" s="1737"/>
      <c r="D191" s="1737"/>
      <c r="E191" s="1737"/>
      <c r="F191" s="1729">
        <v>0.05</v>
      </c>
    </row>
    <row r="192" spans="1:6" ht="31" thickBot="1">
      <c r="A192" s="1723" t="s">
        <v>1385</v>
      </c>
      <c r="B192" s="1727" t="s">
        <v>1923</v>
      </c>
      <c r="C192" s="1737"/>
      <c r="D192" s="1737"/>
      <c r="E192" s="1737"/>
      <c r="F192" s="1729">
        <v>0.05</v>
      </c>
    </row>
    <row r="193" spans="1:6" ht="31" thickBot="1">
      <c r="A193" s="1723" t="s">
        <v>1385</v>
      </c>
      <c r="B193" s="1727" t="s">
        <v>1924</v>
      </c>
      <c r="C193" s="1737"/>
      <c r="D193" s="1737"/>
      <c r="E193" s="1737"/>
      <c r="F193" s="1729">
        <v>0.05</v>
      </c>
    </row>
    <row r="194" spans="1:6" ht="31" thickBot="1">
      <c r="A194" s="1723" t="s">
        <v>1385</v>
      </c>
      <c r="B194" s="1727" t="s">
        <v>1925</v>
      </c>
      <c r="C194" s="1737"/>
      <c r="D194" s="1737"/>
      <c r="E194" s="1737"/>
      <c r="F194" s="1729">
        <v>0.05</v>
      </c>
    </row>
    <row r="195" spans="1:6" ht="16" thickBot="1">
      <c r="A195" s="1723" t="s">
        <v>1385</v>
      </c>
      <c r="B195" s="1727" t="s">
        <v>1926</v>
      </c>
      <c r="C195" s="1737"/>
      <c r="D195" s="1737"/>
      <c r="E195" s="1737"/>
      <c r="F195" s="1729">
        <v>0.05</v>
      </c>
    </row>
    <row r="196" spans="1:6" ht="31" thickBot="1">
      <c r="A196" s="1723" t="s">
        <v>1385</v>
      </c>
      <c r="B196" s="1727" t="s">
        <v>1927</v>
      </c>
      <c r="C196" s="1737"/>
      <c r="D196" s="1737"/>
      <c r="E196" s="1737"/>
      <c r="F196" s="1729">
        <v>0.05</v>
      </c>
    </row>
    <row r="197" spans="1:6" ht="31" thickBot="1">
      <c r="A197" s="1723" t="s">
        <v>1385</v>
      </c>
      <c r="B197" s="1727" t="s">
        <v>1928</v>
      </c>
      <c r="C197" s="1737"/>
      <c r="D197" s="1737"/>
      <c r="E197" s="1737"/>
      <c r="F197" s="1729">
        <v>0.05</v>
      </c>
    </row>
    <row r="198" spans="1:6" ht="31" thickBot="1">
      <c r="A198" s="1723" t="s">
        <v>1385</v>
      </c>
      <c r="B198" s="1727" t="s">
        <v>1929</v>
      </c>
      <c r="C198" s="1737"/>
      <c r="D198" s="1737"/>
      <c r="E198" s="1737"/>
      <c r="F198" s="1729">
        <v>0.05</v>
      </c>
    </row>
    <row r="199" spans="1:6" ht="31" thickBot="1">
      <c r="A199" s="1723" t="s">
        <v>1385</v>
      </c>
      <c r="B199" s="1727" t="s">
        <v>1930</v>
      </c>
      <c r="C199" s="1737"/>
      <c r="D199" s="1737"/>
      <c r="E199" s="1737"/>
      <c r="F199" s="1729">
        <v>0.05</v>
      </c>
    </row>
    <row r="200" spans="1:6" ht="31" thickBot="1">
      <c r="A200" s="1723" t="s">
        <v>1385</v>
      </c>
      <c r="B200" s="1727" t="s">
        <v>1931</v>
      </c>
      <c r="C200" s="1737"/>
      <c r="D200" s="1737"/>
      <c r="E200" s="1737"/>
      <c r="F200" s="1729">
        <v>0.05</v>
      </c>
    </row>
    <row r="201" spans="1:6" ht="31" thickBot="1">
      <c r="A201" s="1723" t="s">
        <v>1385</v>
      </c>
      <c r="B201" s="1727" t="s">
        <v>1932</v>
      </c>
      <c r="C201" s="1737"/>
      <c r="D201" s="1737"/>
      <c r="E201" s="1737"/>
      <c r="F201" s="1729">
        <v>0.05</v>
      </c>
    </row>
    <row r="202" spans="1:6" ht="31" thickBot="1">
      <c r="A202" s="1723" t="s">
        <v>1385</v>
      </c>
      <c r="B202" s="1727" t="s">
        <v>1933</v>
      </c>
      <c r="C202" s="1737"/>
      <c r="D202" s="1737"/>
      <c r="E202" s="1737"/>
      <c r="F202" s="1729">
        <v>0.05</v>
      </c>
    </row>
    <row r="203" spans="1:6" ht="31" thickBot="1">
      <c r="A203" s="1723" t="s">
        <v>1385</v>
      </c>
      <c r="B203" s="1727" t="s">
        <v>1934</v>
      </c>
      <c r="C203" s="1737"/>
      <c r="D203" s="1737"/>
      <c r="E203" s="1737"/>
      <c r="F203" s="1729">
        <v>0.05</v>
      </c>
    </row>
    <row r="204" spans="1:6" ht="16" thickBot="1">
      <c r="A204" s="1723" t="s">
        <v>1385</v>
      </c>
      <c r="B204" s="1727" t="s">
        <v>1935</v>
      </c>
      <c r="C204" s="1737"/>
      <c r="D204" s="1737"/>
      <c r="E204" s="1737"/>
      <c r="F204" s="1729">
        <v>0.05</v>
      </c>
    </row>
    <row r="205" spans="1:6" ht="16" thickBot="1">
      <c r="A205" s="1731" t="s">
        <v>1385</v>
      </c>
      <c r="B205" s="1738" t="s">
        <v>1936</v>
      </c>
      <c r="C205" s="1734"/>
      <c r="D205" s="1734"/>
      <c r="E205" s="1734"/>
      <c r="F205" s="1739">
        <v>0.05</v>
      </c>
    </row>
    <row r="206" spans="1:6" ht="16" thickBot="1">
      <c r="A206" s="1723" t="s">
        <v>1387</v>
      </c>
      <c r="B206" s="1724" t="s">
        <v>1937</v>
      </c>
      <c r="C206" s="1725">
        <v>0.15</v>
      </c>
      <c r="D206" s="1725">
        <v>0.15</v>
      </c>
      <c r="E206" s="1725">
        <v>0.15</v>
      </c>
      <c r="F206" s="1726">
        <v>0.15</v>
      </c>
    </row>
    <row r="207" spans="1:6" ht="16" thickBot="1">
      <c r="A207" s="1723" t="s">
        <v>1387</v>
      </c>
      <c r="B207" s="1727" t="s">
        <v>1051</v>
      </c>
      <c r="C207" s="1728">
        <v>0.15</v>
      </c>
      <c r="D207" s="1728">
        <v>0.15</v>
      </c>
      <c r="E207" s="1728">
        <v>0.15</v>
      </c>
      <c r="F207" s="1729">
        <v>0.14399999999999999</v>
      </c>
    </row>
    <row r="208" spans="1:6" ht="16" thickBot="1">
      <c r="A208" s="1723" t="s">
        <v>1387</v>
      </c>
      <c r="B208" s="1727" t="s">
        <v>1065</v>
      </c>
      <c r="C208" s="1728">
        <v>0.15</v>
      </c>
      <c r="D208" s="1728">
        <v>0.15</v>
      </c>
      <c r="E208" s="1728">
        <v>0.15</v>
      </c>
      <c r="F208" s="1729">
        <v>0.15</v>
      </c>
    </row>
    <row r="209" spans="1:6" ht="16" thickBot="1">
      <c r="A209" s="1723" t="s">
        <v>1387</v>
      </c>
      <c r="B209" s="1727" t="s">
        <v>1078</v>
      </c>
      <c r="C209" s="1728">
        <v>0.13700000000000001</v>
      </c>
      <c r="D209" s="1728">
        <v>0.13700000000000001</v>
      </c>
      <c r="E209" s="1728">
        <v>0.14000000000000001</v>
      </c>
      <c r="F209" s="1729">
        <v>0.11700000000000001</v>
      </c>
    </row>
    <row r="210" spans="1:6" ht="16" thickBot="1">
      <c r="A210" s="1723" t="s">
        <v>1387</v>
      </c>
      <c r="B210" s="1727" t="s">
        <v>1938</v>
      </c>
      <c r="C210" s="1728">
        <v>0.15</v>
      </c>
      <c r="D210" s="1728">
        <v>0.15</v>
      </c>
      <c r="E210" s="1728">
        <v>0.15</v>
      </c>
      <c r="F210" s="1729">
        <v>0.13800000000000001</v>
      </c>
    </row>
    <row r="211" spans="1:6" ht="16" thickBot="1">
      <c r="A211" s="1723" t="s">
        <v>1387</v>
      </c>
      <c r="B211" s="1727" t="s">
        <v>1939</v>
      </c>
      <c r="C211" s="1728">
        <v>0.13700000000000001</v>
      </c>
      <c r="D211" s="1728">
        <v>0.13500000000000001</v>
      </c>
      <c r="E211" s="1728">
        <v>0.13600000000000001</v>
      </c>
      <c r="F211" s="1729">
        <v>0.1</v>
      </c>
    </row>
    <row r="212" spans="1:6" ht="16" thickBot="1">
      <c r="A212" s="1723" t="s">
        <v>1387</v>
      </c>
      <c r="B212" s="1727" t="s">
        <v>1940</v>
      </c>
      <c r="C212" s="1728">
        <v>0.15</v>
      </c>
      <c r="D212" s="1728">
        <v>0.15</v>
      </c>
      <c r="E212" s="1728">
        <v>0.14799999999999999</v>
      </c>
      <c r="F212" s="1729">
        <v>0.13600000000000001</v>
      </c>
    </row>
    <row r="213" spans="1:6" ht="16" thickBot="1">
      <c r="A213" s="1723" t="s">
        <v>1387</v>
      </c>
      <c r="B213" s="1727" t="s">
        <v>1125</v>
      </c>
      <c r="C213" s="1728">
        <v>0.15</v>
      </c>
      <c r="D213" s="1728">
        <v>0.15</v>
      </c>
      <c r="E213" s="1728">
        <v>0.15</v>
      </c>
      <c r="F213" s="1729">
        <v>0.13800000000000001</v>
      </c>
    </row>
    <row r="214" spans="1:6" ht="16" thickBot="1">
      <c r="A214" s="1723" t="s">
        <v>1387</v>
      </c>
      <c r="B214" s="1727" t="s">
        <v>1137</v>
      </c>
      <c r="C214" s="1728">
        <v>9.0999999999999998E-2</v>
      </c>
      <c r="D214" s="1728">
        <v>0.09</v>
      </c>
      <c r="E214" s="1728">
        <v>9.1999999999999998E-2</v>
      </c>
      <c r="F214" s="1736"/>
    </row>
    <row r="215" spans="1:6" ht="16" thickBot="1">
      <c r="A215" s="1723" t="s">
        <v>1387</v>
      </c>
      <c r="B215" s="1727" t="s">
        <v>1941</v>
      </c>
      <c r="C215" s="1728">
        <v>0.15</v>
      </c>
      <c r="D215" s="1728">
        <v>0.15</v>
      </c>
      <c r="E215" s="1728">
        <v>0.15</v>
      </c>
      <c r="F215" s="1729">
        <v>0.15</v>
      </c>
    </row>
    <row r="216" spans="1:6" ht="16" thickBot="1">
      <c r="A216" s="1723" t="s">
        <v>1387</v>
      </c>
      <c r="B216" s="1727" t="s">
        <v>1157</v>
      </c>
      <c r="C216" s="1728">
        <v>0.14699999999999999</v>
      </c>
      <c r="D216" s="1728">
        <v>0.14699999999999999</v>
      </c>
      <c r="E216" s="1728">
        <v>0.15</v>
      </c>
      <c r="F216" s="1729">
        <v>0.14000000000000001</v>
      </c>
    </row>
    <row r="217" spans="1:6" ht="16" thickBot="1">
      <c r="A217" s="1723" t="s">
        <v>1387</v>
      </c>
      <c r="B217" s="1727" t="s">
        <v>1167</v>
      </c>
      <c r="C217" s="1728">
        <v>0.15</v>
      </c>
      <c r="D217" s="1728">
        <v>0.15</v>
      </c>
      <c r="E217" s="1728">
        <v>0.15</v>
      </c>
      <c r="F217" s="1729">
        <v>0.15</v>
      </c>
    </row>
    <row r="218" spans="1:6" ht="16" thickBot="1">
      <c r="A218" s="1723" t="s">
        <v>1387</v>
      </c>
      <c r="B218" s="1727" t="s">
        <v>1942</v>
      </c>
      <c r="C218" s="1728">
        <v>0.15</v>
      </c>
      <c r="D218" s="1728">
        <v>0.15</v>
      </c>
      <c r="E218" s="1728">
        <v>0.15</v>
      </c>
      <c r="F218" s="1729">
        <v>0.15</v>
      </c>
    </row>
    <row r="219" spans="1:6" ht="16" thickBot="1">
      <c r="A219" s="1723" t="s">
        <v>1387</v>
      </c>
      <c r="B219" s="1727" t="s">
        <v>1187</v>
      </c>
      <c r="C219" s="1728">
        <v>0.15</v>
      </c>
      <c r="D219" s="1728">
        <v>0.15</v>
      </c>
      <c r="E219" s="1728">
        <v>0.15</v>
      </c>
      <c r="F219" s="1729">
        <v>0.14799999999999999</v>
      </c>
    </row>
    <row r="220" spans="1:6" ht="16" thickBot="1">
      <c r="A220" s="1723" t="s">
        <v>1387</v>
      </c>
      <c r="B220" s="1727" t="s">
        <v>1943</v>
      </c>
      <c r="C220" s="1728">
        <v>0.15</v>
      </c>
      <c r="D220" s="1728">
        <v>0.15</v>
      </c>
      <c r="E220" s="1728">
        <v>0.15</v>
      </c>
      <c r="F220" s="1729">
        <v>0.15</v>
      </c>
    </row>
    <row r="221" spans="1:6" ht="16" thickBot="1">
      <c r="A221" s="1723" t="s">
        <v>1387</v>
      </c>
      <c r="B221" s="1727" t="s">
        <v>1207</v>
      </c>
      <c r="C221" s="1728"/>
      <c r="D221" s="1737"/>
      <c r="E221" s="1737"/>
      <c r="F221" s="1729">
        <v>0.14799999999999999</v>
      </c>
    </row>
    <row r="222" spans="1:6" ht="16" thickBot="1">
      <c r="A222" s="1723" t="s">
        <v>1387</v>
      </c>
      <c r="B222" s="1727" t="s">
        <v>1217</v>
      </c>
      <c r="C222" s="1728"/>
      <c r="D222" s="1737"/>
      <c r="E222" s="1737"/>
      <c r="F222" s="1729">
        <v>0.1</v>
      </c>
    </row>
    <row r="223" spans="1:6" ht="16" thickBot="1">
      <c r="A223" s="1723" t="s">
        <v>1387</v>
      </c>
      <c r="B223" s="1727" t="s">
        <v>1227</v>
      </c>
      <c r="C223" s="1728"/>
      <c r="D223" s="1737"/>
      <c r="E223" s="1737"/>
      <c r="F223" s="1729">
        <v>0.15</v>
      </c>
    </row>
    <row r="224" spans="1:6" ht="16" thickBot="1">
      <c r="A224" s="1723" t="s">
        <v>1387</v>
      </c>
      <c r="B224" s="1727" t="s">
        <v>1237</v>
      </c>
      <c r="C224" s="1728"/>
      <c r="D224" s="1737"/>
      <c r="E224" s="1737"/>
      <c r="F224" s="1729">
        <v>0.15</v>
      </c>
    </row>
    <row r="225" spans="1:6" ht="16" thickBot="1">
      <c r="A225" s="1723" t="s">
        <v>1387</v>
      </c>
      <c r="B225" s="1727" t="s">
        <v>1944</v>
      </c>
      <c r="C225" s="1728">
        <v>0.15</v>
      </c>
      <c r="D225" s="1728">
        <v>0.15</v>
      </c>
      <c r="E225" s="1728">
        <v>0.15</v>
      </c>
      <c r="F225" s="1729">
        <v>0.15</v>
      </c>
    </row>
    <row r="226" spans="1:6" ht="16" thickBot="1">
      <c r="A226" s="1723" t="s">
        <v>1387</v>
      </c>
      <c r="B226" s="1727" t="s">
        <v>1255</v>
      </c>
      <c r="C226" s="1728">
        <v>0.15</v>
      </c>
      <c r="D226" s="1728">
        <v>0.15</v>
      </c>
      <c r="E226" s="1728">
        <v>0.15</v>
      </c>
      <c r="F226" s="1729">
        <v>0.14799999999999999</v>
      </c>
    </row>
    <row r="227" spans="1:6" ht="16" thickBot="1">
      <c r="A227" s="1723" t="s">
        <v>1387</v>
      </c>
      <c r="B227" s="1727" t="s">
        <v>1945</v>
      </c>
      <c r="C227" s="1728">
        <v>0.15</v>
      </c>
      <c r="D227" s="1728">
        <v>0.15</v>
      </c>
      <c r="E227" s="1728">
        <v>0.15</v>
      </c>
      <c r="F227" s="1729">
        <v>0.15</v>
      </c>
    </row>
    <row r="228" spans="1:6" ht="16" thickBot="1">
      <c r="A228" s="1723" t="s">
        <v>1387</v>
      </c>
      <c r="B228" s="1727" t="s">
        <v>1270</v>
      </c>
      <c r="C228" s="1728">
        <v>0.15</v>
      </c>
      <c r="D228" s="1728">
        <v>0.15</v>
      </c>
      <c r="E228" s="1728">
        <v>0.15</v>
      </c>
      <c r="F228" s="1729">
        <v>0.15</v>
      </c>
    </row>
    <row r="229" spans="1:6" ht="16" thickBot="1">
      <c r="A229" s="1723" t="s">
        <v>1387</v>
      </c>
      <c r="B229" s="1727" t="s">
        <v>1277</v>
      </c>
      <c r="C229" s="1728">
        <v>0.15</v>
      </c>
      <c r="D229" s="1728">
        <v>0.15</v>
      </c>
      <c r="E229" s="1728">
        <v>0.15</v>
      </c>
      <c r="F229" s="1736"/>
    </row>
    <row r="230" spans="1:6" ht="16" thickBot="1">
      <c r="A230" s="1723" t="s">
        <v>1387</v>
      </c>
      <c r="B230" s="1727" t="s">
        <v>1284</v>
      </c>
      <c r="C230" s="1728">
        <v>0.14499999999999999</v>
      </c>
      <c r="D230" s="1728">
        <v>0.14499999999999999</v>
      </c>
      <c r="E230" s="1728">
        <v>0.14399999999999999</v>
      </c>
      <c r="F230" s="1736"/>
    </row>
    <row r="231" spans="1:6" ht="16" thickBot="1">
      <c r="A231" s="1723" t="s">
        <v>1387</v>
      </c>
      <c r="B231" s="1727" t="s">
        <v>1946</v>
      </c>
      <c r="C231" s="1728">
        <v>0.128</v>
      </c>
      <c r="D231" s="1728">
        <v>0.125</v>
      </c>
      <c r="E231" s="1728">
        <v>0.13200000000000001</v>
      </c>
      <c r="F231" s="1736"/>
    </row>
    <row r="232" spans="1:6" ht="16" thickBot="1">
      <c r="A232" s="1723" t="s">
        <v>1387</v>
      </c>
      <c r="B232" s="1727" t="s">
        <v>1947</v>
      </c>
      <c r="C232" s="1728">
        <v>0.14499999999999999</v>
      </c>
      <c r="D232" s="1728">
        <v>0.14399999999999999</v>
      </c>
      <c r="E232" s="1728">
        <v>0.14599999999999999</v>
      </c>
      <c r="F232" s="1729">
        <v>0.13800000000000001</v>
      </c>
    </row>
    <row r="233" spans="1:6" ht="16" thickBot="1">
      <c r="A233" s="1723" t="s">
        <v>1387</v>
      </c>
      <c r="B233" s="1727" t="s">
        <v>1948</v>
      </c>
      <c r="C233" s="1728">
        <v>0.14499999999999999</v>
      </c>
      <c r="D233" s="1728">
        <v>0.14299999999999999</v>
      </c>
      <c r="E233" s="1728">
        <v>0.14199999999999999</v>
      </c>
      <c r="F233" s="1736"/>
    </row>
    <row r="234" spans="1:6" ht="16" thickBot="1">
      <c r="A234" s="1723" t="s">
        <v>1387</v>
      </c>
      <c r="B234" s="1727" t="s">
        <v>1949</v>
      </c>
      <c r="C234" s="1728">
        <v>0.14000000000000001</v>
      </c>
      <c r="D234" s="1728">
        <v>0.14000000000000001</v>
      </c>
      <c r="E234" s="1728">
        <v>0.14399999999999999</v>
      </c>
      <c r="F234" s="1736"/>
    </row>
    <row r="235" spans="1:6" ht="16" thickBot="1">
      <c r="A235" s="1723" t="s">
        <v>1387</v>
      </c>
      <c r="B235" s="1727" t="s">
        <v>1950</v>
      </c>
      <c r="C235" s="1728">
        <v>0.14099999999999999</v>
      </c>
      <c r="D235" s="1728">
        <v>0.14199999999999999</v>
      </c>
      <c r="E235" s="1728">
        <v>0.14499999999999999</v>
      </c>
      <c r="F235" s="1729">
        <v>0.15</v>
      </c>
    </row>
    <row r="236" spans="1:6" ht="16" thickBot="1">
      <c r="A236" s="1723" t="s">
        <v>1387</v>
      </c>
      <c r="B236" s="1727" t="s">
        <v>1319</v>
      </c>
      <c r="C236" s="1737"/>
      <c r="D236" s="1737"/>
      <c r="E236" s="1737"/>
      <c r="F236" s="1729">
        <v>0.14299999999999999</v>
      </c>
    </row>
    <row r="237" spans="1:6" ht="31" thickBot="1">
      <c r="A237" s="1723" t="s">
        <v>1387</v>
      </c>
      <c r="B237" s="1727" t="s">
        <v>1951</v>
      </c>
      <c r="C237" s="1737"/>
      <c r="D237" s="1737"/>
      <c r="E237" s="1737"/>
      <c r="F237" s="1729">
        <v>0.05</v>
      </c>
    </row>
    <row r="238" spans="1:6" ht="31" thickBot="1">
      <c r="A238" s="1723" t="s">
        <v>1387</v>
      </c>
      <c r="B238" s="1727" t="s">
        <v>1952</v>
      </c>
      <c r="C238" s="1737"/>
      <c r="D238" s="1737"/>
      <c r="E238" s="1737"/>
      <c r="F238" s="1729">
        <v>0.05</v>
      </c>
    </row>
    <row r="239" spans="1:6" ht="31" thickBot="1">
      <c r="A239" s="1723" t="s">
        <v>1387</v>
      </c>
      <c r="B239" s="1727" t="s">
        <v>1953</v>
      </c>
      <c r="C239" s="1737"/>
      <c r="D239" s="1737"/>
      <c r="E239" s="1737"/>
      <c r="F239" s="1729">
        <v>0.05</v>
      </c>
    </row>
    <row r="240" spans="1:6" ht="31" thickBot="1">
      <c r="A240" s="1723" t="s">
        <v>1387</v>
      </c>
      <c r="B240" s="1727" t="s">
        <v>1954</v>
      </c>
      <c r="C240" s="1737"/>
      <c r="D240" s="1737"/>
      <c r="E240" s="1737"/>
      <c r="F240" s="1729">
        <v>0.05</v>
      </c>
    </row>
    <row r="241" spans="1:6" ht="31" thickBot="1">
      <c r="A241" s="1723" t="s">
        <v>1387</v>
      </c>
      <c r="B241" s="1727" t="s">
        <v>1955</v>
      </c>
      <c r="C241" s="1737"/>
      <c r="D241" s="1737"/>
      <c r="E241" s="1737"/>
      <c r="F241" s="1729">
        <v>0.05</v>
      </c>
    </row>
    <row r="242" spans="1:6" ht="31" thickBot="1">
      <c r="A242" s="1723" t="s">
        <v>1387</v>
      </c>
      <c r="B242" s="1727" t="s">
        <v>1956</v>
      </c>
      <c r="C242" s="1737"/>
      <c r="D242" s="1737"/>
      <c r="E242" s="1737"/>
      <c r="F242" s="1729">
        <v>0.05</v>
      </c>
    </row>
    <row r="243" spans="1:6" ht="31" thickBot="1">
      <c r="A243" s="1723" t="s">
        <v>1387</v>
      </c>
      <c r="B243" s="1727" t="s">
        <v>1957</v>
      </c>
      <c r="C243" s="1737"/>
      <c r="D243" s="1737"/>
      <c r="E243" s="1737"/>
      <c r="F243" s="1729">
        <v>0.05</v>
      </c>
    </row>
    <row r="244" spans="1:6" ht="31" thickBot="1">
      <c r="A244" s="1731" t="s">
        <v>1387</v>
      </c>
      <c r="B244" s="1738" t="s">
        <v>1958</v>
      </c>
      <c r="C244" s="1734"/>
      <c r="D244" s="1734"/>
      <c r="E244" s="1734"/>
      <c r="F244" s="1739">
        <v>0.05</v>
      </c>
    </row>
    <row r="245" spans="1:6" ht="16" thickBot="1">
      <c r="A245" s="1723" t="s">
        <v>1389</v>
      </c>
      <c r="B245" s="1724" t="s">
        <v>1959</v>
      </c>
      <c r="C245" s="1725">
        <v>0.15</v>
      </c>
      <c r="D245" s="1725">
        <v>0.15</v>
      </c>
      <c r="E245" s="1725">
        <v>0.15</v>
      </c>
      <c r="F245" s="1726">
        <v>0.14299999999999999</v>
      </c>
    </row>
    <row r="246" spans="1:6" ht="16" thickBot="1">
      <c r="A246" s="1723" t="s">
        <v>1389</v>
      </c>
      <c r="B246" s="1727" t="s">
        <v>1052</v>
      </c>
      <c r="C246" s="1728">
        <v>0.15</v>
      </c>
      <c r="D246" s="1728">
        <v>0.15</v>
      </c>
      <c r="E246" s="1728">
        <v>0.15</v>
      </c>
      <c r="F246" s="1729">
        <v>0.114</v>
      </c>
    </row>
    <row r="247" spans="1:6" ht="16" thickBot="1">
      <c r="A247" s="1723" t="s">
        <v>1389</v>
      </c>
      <c r="B247" s="1727" t="s">
        <v>1960</v>
      </c>
      <c r="C247" s="1728">
        <v>0.15</v>
      </c>
      <c r="D247" s="1728">
        <v>0.15</v>
      </c>
      <c r="E247" s="1728">
        <v>0.15</v>
      </c>
      <c r="F247" s="1729">
        <v>0.15</v>
      </c>
    </row>
    <row r="248" spans="1:6" ht="16" thickBot="1">
      <c r="A248" s="1723" t="s">
        <v>1389</v>
      </c>
      <c r="B248" s="1727" t="s">
        <v>1961</v>
      </c>
      <c r="C248" s="1728">
        <v>0.15</v>
      </c>
      <c r="D248" s="1728">
        <v>0.15</v>
      </c>
      <c r="E248" s="1728">
        <v>0.15</v>
      </c>
      <c r="F248" s="1729">
        <v>0.14000000000000001</v>
      </c>
    </row>
    <row r="249" spans="1:6" ht="16" thickBot="1">
      <c r="A249" s="1723" t="s">
        <v>1389</v>
      </c>
      <c r="B249" s="1727" t="s">
        <v>1962</v>
      </c>
      <c r="C249" s="1728">
        <v>0.15</v>
      </c>
      <c r="D249" s="1728">
        <v>0.14899999999999999</v>
      </c>
      <c r="E249" s="1728">
        <v>0.15</v>
      </c>
      <c r="F249" s="1729">
        <v>0.1</v>
      </c>
    </row>
    <row r="250" spans="1:6" ht="16" thickBot="1">
      <c r="A250" s="1723" t="s">
        <v>1389</v>
      </c>
      <c r="B250" s="1727" t="s">
        <v>1963</v>
      </c>
      <c r="C250" s="1728">
        <v>0.15</v>
      </c>
      <c r="D250" s="1728">
        <v>0.15</v>
      </c>
      <c r="E250" s="1728">
        <v>0.15</v>
      </c>
      <c r="F250" s="1729">
        <v>0.14399999999999999</v>
      </c>
    </row>
    <row r="251" spans="1:6" ht="16" thickBot="1">
      <c r="A251" s="1723" t="s">
        <v>1389</v>
      </c>
      <c r="B251" s="1727" t="s">
        <v>1115</v>
      </c>
      <c r="C251" s="1728">
        <v>0.15</v>
      </c>
      <c r="D251" s="1728">
        <v>0.15</v>
      </c>
      <c r="E251" s="1728">
        <v>0.15</v>
      </c>
      <c r="F251" s="1729">
        <v>0.14299999999999999</v>
      </c>
    </row>
    <row r="252" spans="1:6" ht="16" thickBot="1">
      <c r="A252" s="1723" t="s">
        <v>1389</v>
      </c>
      <c r="B252" s="1727" t="s">
        <v>1126</v>
      </c>
      <c r="C252" s="1728">
        <v>0.15</v>
      </c>
      <c r="D252" s="1728">
        <v>0.15</v>
      </c>
      <c r="E252" s="1728">
        <v>0.15</v>
      </c>
      <c r="F252" s="1729">
        <v>0.1</v>
      </c>
    </row>
    <row r="253" spans="1:6" ht="16" thickBot="1">
      <c r="A253" s="1723" t="s">
        <v>1389</v>
      </c>
      <c r="B253" s="1727" t="s">
        <v>1138</v>
      </c>
      <c r="C253" s="1728">
        <v>0.15</v>
      </c>
      <c r="D253" s="1728">
        <v>0.15</v>
      </c>
      <c r="E253" s="1728">
        <v>0.15</v>
      </c>
      <c r="F253" s="1729">
        <v>0.1</v>
      </c>
    </row>
    <row r="254" spans="1:6" ht="16" thickBot="1">
      <c r="A254" s="1723" t="s">
        <v>1389</v>
      </c>
      <c r="B254" s="1727" t="s">
        <v>1148</v>
      </c>
      <c r="C254" s="1737"/>
      <c r="D254" s="1737"/>
      <c r="E254" s="1737"/>
      <c r="F254" s="1729">
        <v>0.15</v>
      </c>
    </row>
    <row r="255" spans="1:6" ht="16" thickBot="1">
      <c r="A255" s="1723" t="s">
        <v>1389</v>
      </c>
      <c r="B255" s="1727" t="s">
        <v>1158</v>
      </c>
      <c r="C255" s="1737"/>
      <c r="D255" s="1737"/>
      <c r="E255" s="1737"/>
      <c r="F255" s="1729">
        <v>0.14299999999999999</v>
      </c>
    </row>
    <row r="256" spans="1:6" ht="16" thickBot="1">
      <c r="A256" s="1723" t="s">
        <v>1389</v>
      </c>
      <c r="B256" s="1727" t="s">
        <v>1964</v>
      </c>
      <c r="C256" s="1728">
        <v>0.14599999999999999</v>
      </c>
      <c r="D256" s="1728">
        <v>0.14699999999999999</v>
      </c>
      <c r="E256" s="1728">
        <v>0.15</v>
      </c>
      <c r="F256" s="1729">
        <v>0.13200000000000001</v>
      </c>
    </row>
    <row r="257" spans="1:6" ht="16" thickBot="1">
      <c r="A257" s="1723" t="s">
        <v>1389</v>
      </c>
      <c r="B257" s="1727" t="s">
        <v>1178</v>
      </c>
      <c r="C257" s="1728">
        <v>0.15</v>
      </c>
      <c r="D257" s="1728">
        <v>0.15</v>
      </c>
      <c r="E257" s="1728">
        <v>0.15</v>
      </c>
      <c r="F257" s="1729">
        <v>0.13900000000000001</v>
      </c>
    </row>
    <row r="258" spans="1:6" ht="16" thickBot="1">
      <c r="A258" s="1723" t="s">
        <v>1389</v>
      </c>
      <c r="B258" s="1727" t="s">
        <v>1188</v>
      </c>
      <c r="C258" s="1728">
        <v>0.15</v>
      </c>
      <c r="D258" s="1728">
        <v>0.15</v>
      </c>
      <c r="E258" s="1728">
        <v>0.15</v>
      </c>
      <c r="F258" s="1729">
        <v>0.13</v>
      </c>
    </row>
    <row r="259" spans="1:6" ht="16" thickBot="1">
      <c r="A259" s="1723" t="s">
        <v>1389</v>
      </c>
      <c r="B259" s="1727" t="s">
        <v>1965</v>
      </c>
      <c r="C259" s="1728">
        <v>0.14799999999999999</v>
      </c>
      <c r="D259" s="1728">
        <v>0.14899999999999999</v>
      </c>
      <c r="E259" s="1728">
        <v>0.15</v>
      </c>
      <c r="F259" s="1729">
        <v>0.13700000000000001</v>
      </c>
    </row>
    <row r="260" spans="1:6" ht="16" thickBot="1">
      <c r="A260" s="1723" t="s">
        <v>1389</v>
      </c>
      <c r="B260" s="1727" t="s">
        <v>1208</v>
      </c>
      <c r="C260" s="1728">
        <v>0.15</v>
      </c>
      <c r="D260" s="1728">
        <v>0.15</v>
      </c>
      <c r="E260" s="1728">
        <v>0.15</v>
      </c>
      <c r="F260" s="1729">
        <v>0.14199999999999999</v>
      </c>
    </row>
    <row r="261" spans="1:6" ht="16" thickBot="1">
      <c r="A261" s="1723" t="s">
        <v>1389</v>
      </c>
      <c r="B261" s="1727" t="s">
        <v>1218</v>
      </c>
      <c r="C261" s="1728">
        <v>0.15</v>
      </c>
      <c r="D261" s="1728">
        <v>0.15</v>
      </c>
      <c r="E261" s="1728">
        <v>0.14899999999999999</v>
      </c>
      <c r="F261" s="1729">
        <v>0.14799999999999999</v>
      </c>
    </row>
    <row r="262" spans="1:6" ht="16" thickBot="1">
      <c r="A262" s="1723" t="s">
        <v>1389</v>
      </c>
      <c r="B262" s="1727" t="s">
        <v>1228</v>
      </c>
      <c r="C262" s="1728">
        <v>0.15</v>
      </c>
      <c r="D262" s="1728">
        <v>0.15</v>
      </c>
      <c r="E262" s="1728">
        <v>0.15</v>
      </c>
      <c r="F262" s="1736"/>
    </row>
    <row r="263" spans="1:6" ht="16" thickBot="1">
      <c r="A263" s="1723" t="s">
        <v>1389</v>
      </c>
      <c r="B263" s="1727" t="s">
        <v>1966</v>
      </c>
      <c r="C263" s="1728">
        <v>0.14899999999999999</v>
      </c>
      <c r="D263" s="1728">
        <v>0.14899999999999999</v>
      </c>
      <c r="E263" s="1728">
        <v>0.15</v>
      </c>
      <c r="F263" s="1729">
        <v>0.13</v>
      </c>
    </row>
    <row r="264" spans="1:6" ht="16" thickBot="1">
      <c r="A264" s="1723" t="s">
        <v>1389</v>
      </c>
      <c r="B264" s="1727" t="s">
        <v>1247</v>
      </c>
      <c r="C264" s="1728">
        <v>0.14799999999999999</v>
      </c>
      <c r="D264" s="1728">
        <v>0.14699999999999999</v>
      </c>
      <c r="E264" s="1728">
        <v>0.15</v>
      </c>
      <c r="F264" s="1729">
        <v>7.8E-2</v>
      </c>
    </row>
    <row r="265" spans="1:6" ht="16" thickBot="1">
      <c r="A265" s="1723" t="s">
        <v>1389</v>
      </c>
      <c r="B265" s="1727" t="s">
        <v>1256</v>
      </c>
      <c r="C265" s="1728">
        <v>0.15</v>
      </c>
      <c r="D265" s="1728">
        <v>0.15</v>
      </c>
      <c r="E265" s="1728">
        <v>0.15</v>
      </c>
      <c r="F265" s="1729">
        <v>7.3999999999999996E-2</v>
      </c>
    </row>
    <row r="266" spans="1:6" ht="16" thickBot="1">
      <c r="A266" s="1723" t="s">
        <v>1389</v>
      </c>
      <c r="B266" s="1727" t="s">
        <v>1264</v>
      </c>
      <c r="C266" s="1728">
        <v>0.14699999999999999</v>
      </c>
      <c r="D266" s="1728">
        <v>0.14699999999999999</v>
      </c>
      <c r="E266" s="1728">
        <v>0.15</v>
      </c>
      <c r="F266" s="1729">
        <v>0.14299999999999999</v>
      </c>
    </row>
    <row r="267" spans="1:6" ht="16" thickBot="1">
      <c r="A267" s="1723" t="s">
        <v>1389</v>
      </c>
      <c r="B267" s="1727" t="s">
        <v>1271</v>
      </c>
      <c r="C267" s="1728">
        <v>0.14199999999999999</v>
      </c>
      <c r="D267" s="1728">
        <v>0.14299999999999999</v>
      </c>
      <c r="E267" s="1728">
        <v>0.15</v>
      </c>
      <c r="F267" s="1736"/>
    </row>
    <row r="268" spans="1:6" ht="16" thickBot="1">
      <c r="A268" s="1723" t="s">
        <v>1389</v>
      </c>
      <c r="B268" s="1727" t="s">
        <v>1967</v>
      </c>
      <c r="C268" s="1728">
        <v>0.15</v>
      </c>
      <c r="D268" s="1728">
        <v>0.15</v>
      </c>
      <c r="E268" s="1728">
        <v>0.15</v>
      </c>
      <c r="F268" s="1729">
        <v>0.13</v>
      </c>
    </row>
    <row r="269" spans="1:6" ht="16" thickBot="1">
      <c r="A269" s="1723" t="s">
        <v>1389</v>
      </c>
      <c r="B269" s="1727" t="s">
        <v>1285</v>
      </c>
      <c r="C269" s="1728">
        <v>0.15</v>
      </c>
      <c r="D269" s="1728">
        <v>0.15</v>
      </c>
      <c r="E269" s="1728">
        <v>0.15</v>
      </c>
      <c r="F269" s="1729">
        <v>0.14299999999999999</v>
      </c>
    </row>
    <row r="270" spans="1:6" ht="16" thickBot="1">
      <c r="A270" s="1723" t="s">
        <v>1389</v>
      </c>
      <c r="B270" s="1727" t="s">
        <v>1292</v>
      </c>
      <c r="C270" s="1728">
        <v>0.14499999999999999</v>
      </c>
      <c r="D270" s="1728">
        <v>0.14499999999999999</v>
      </c>
      <c r="E270" s="1728">
        <v>0.15</v>
      </c>
      <c r="F270" s="1729">
        <v>0.14699999999999999</v>
      </c>
    </row>
    <row r="271" spans="1:6" ht="16" thickBot="1">
      <c r="A271" s="1723" t="s">
        <v>1389</v>
      </c>
      <c r="B271" s="1727" t="s">
        <v>1299</v>
      </c>
      <c r="C271" s="1728">
        <v>0.15</v>
      </c>
      <c r="D271" s="1728">
        <v>0.15</v>
      </c>
      <c r="E271" s="1728">
        <v>0.15</v>
      </c>
      <c r="F271" s="1729">
        <v>0.13800000000000001</v>
      </c>
    </row>
    <row r="272" spans="1:6" ht="16" thickBot="1">
      <c r="A272" s="1723" t="s">
        <v>1389</v>
      </c>
      <c r="B272" s="1727" t="s">
        <v>1306</v>
      </c>
      <c r="C272" s="1737"/>
      <c r="D272" s="1737"/>
      <c r="E272" s="1737"/>
      <c r="F272" s="1729">
        <v>0.14000000000000001</v>
      </c>
    </row>
    <row r="273" spans="1:6" ht="16" thickBot="1">
      <c r="A273" s="1723" t="s">
        <v>1389</v>
      </c>
      <c r="B273" s="1727" t="s">
        <v>1968</v>
      </c>
      <c r="C273" s="1728">
        <v>0.14199999999999999</v>
      </c>
      <c r="D273" s="1728">
        <v>0.14299999999999999</v>
      </c>
      <c r="E273" s="1728">
        <v>0.15</v>
      </c>
      <c r="F273" s="1729">
        <v>0.1</v>
      </c>
    </row>
    <row r="274" spans="1:6" ht="16" thickBot="1">
      <c r="A274" s="1723" t="s">
        <v>1389</v>
      </c>
      <c r="B274" s="1727" t="s">
        <v>1969</v>
      </c>
      <c r="C274" s="1728">
        <v>0.14799999999999999</v>
      </c>
      <c r="D274" s="1728">
        <v>0.14799999999999999</v>
      </c>
      <c r="E274" s="1728">
        <v>0.15</v>
      </c>
      <c r="F274" s="1729">
        <v>6.7000000000000004E-2</v>
      </c>
    </row>
    <row r="275" spans="1:6" ht="16" thickBot="1">
      <c r="A275" s="1723" t="s">
        <v>1389</v>
      </c>
      <c r="B275" s="1727" t="s">
        <v>1970</v>
      </c>
      <c r="C275" s="1728">
        <v>0.15</v>
      </c>
      <c r="D275" s="1728">
        <v>0.15</v>
      </c>
      <c r="E275" s="1728">
        <v>0.15</v>
      </c>
      <c r="F275" s="1729">
        <v>0.15</v>
      </c>
    </row>
    <row r="276" spans="1:6" ht="16" thickBot="1">
      <c r="A276" s="1723" t="s">
        <v>1389</v>
      </c>
      <c r="B276" s="1727" t="s">
        <v>1971</v>
      </c>
      <c r="C276" s="1728">
        <v>0.14499999999999999</v>
      </c>
      <c r="D276" s="1728">
        <v>0.14299999999999999</v>
      </c>
      <c r="E276" s="1728">
        <v>0.15</v>
      </c>
      <c r="F276" s="1729">
        <v>5.8999999999999997E-2</v>
      </c>
    </row>
    <row r="277" spans="1:6" ht="16" thickBot="1">
      <c r="A277" s="1723" t="s">
        <v>1389</v>
      </c>
      <c r="B277" s="1727" t="s">
        <v>1972</v>
      </c>
      <c r="C277" s="1728">
        <v>0.15</v>
      </c>
      <c r="D277" s="1728">
        <v>0.15</v>
      </c>
      <c r="E277" s="1728">
        <v>0.15</v>
      </c>
      <c r="F277" s="1729">
        <v>0.121</v>
      </c>
    </row>
    <row r="278" spans="1:6" ht="16" thickBot="1">
      <c r="A278" s="1723" t="s">
        <v>1389</v>
      </c>
      <c r="B278" s="1727" t="s">
        <v>1973</v>
      </c>
      <c r="C278" s="1728">
        <v>0.15</v>
      </c>
      <c r="D278" s="1728">
        <v>0.15</v>
      </c>
      <c r="E278" s="1728">
        <v>0.15</v>
      </c>
      <c r="F278" s="1729">
        <v>0.13800000000000001</v>
      </c>
    </row>
    <row r="279" spans="1:6" ht="31" thickBot="1">
      <c r="A279" s="1723" t="s">
        <v>1389</v>
      </c>
      <c r="B279" s="1727" t="s">
        <v>1974</v>
      </c>
      <c r="C279" s="1737"/>
      <c r="D279" s="1737"/>
      <c r="E279" s="1737"/>
      <c r="F279" s="1729">
        <v>0.05</v>
      </c>
    </row>
    <row r="280" spans="1:6" ht="31" thickBot="1">
      <c r="A280" s="1723" t="s">
        <v>1389</v>
      </c>
      <c r="B280" s="1727" t="s">
        <v>1975</v>
      </c>
      <c r="C280" s="1737"/>
      <c r="D280" s="1737"/>
      <c r="E280" s="1737"/>
      <c r="F280" s="1729">
        <v>0.05</v>
      </c>
    </row>
    <row r="281" spans="1:6" ht="31" thickBot="1">
      <c r="A281" s="1723" t="s">
        <v>1389</v>
      </c>
      <c r="B281" s="1727" t="s">
        <v>1976</v>
      </c>
      <c r="C281" s="1737"/>
      <c r="D281" s="1737"/>
      <c r="E281" s="1737"/>
      <c r="F281" s="1729">
        <v>0.05</v>
      </c>
    </row>
    <row r="282" spans="1:6" ht="31" thickBot="1">
      <c r="A282" s="1723" t="s">
        <v>1389</v>
      </c>
      <c r="B282" s="1727" t="s">
        <v>1977</v>
      </c>
      <c r="C282" s="1737"/>
      <c r="D282" s="1737"/>
      <c r="E282" s="1737"/>
      <c r="F282" s="1729">
        <v>0.05</v>
      </c>
    </row>
    <row r="283" spans="1:6" ht="31" thickBot="1">
      <c r="A283" s="1723" t="s">
        <v>1389</v>
      </c>
      <c r="B283" s="1727" t="s">
        <v>1978</v>
      </c>
      <c r="C283" s="1737"/>
      <c r="D283" s="1737"/>
      <c r="E283" s="1737"/>
      <c r="F283" s="1729">
        <v>0.05</v>
      </c>
    </row>
    <row r="284" spans="1:6" ht="31" thickBot="1">
      <c r="A284" s="1723" t="s">
        <v>1389</v>
      </c>
      <c r="B284" s="1727" t="s">
        <v>1979</v>
      </c>
      <c r="C284" s="1737"/>
      <c r="D284" s="1737"/>
      <c r="E284" s="1737"/>
      <c r="F284" s="1729">
        <v>0.05</v>
      </c>
    </row>
    <row r="285" spans="1:6" ht="31" thickBot="1">
      <c r="A285" s="1723" t="s">
        <v>1389</v>
      </c>
      <c r="B285" s="1727" t="s">
        <v>1980</v>
      </c>
      <c r="C285" s="1737"/>
      <c r="D285" s="1737"/>
      <c r="E285" s="1737"/>
      <c r="F285" s="1729">
        <v>0.05</v>
      </c>
    </row>
    <row r="286" spans="1:6" ht="31" thickBot="1">
      <c r="A286" s="1723" t="s">
        <v>1389</v>
      </c>
      <c r="B286" s="1727" t="s">
        <v>1981</v>
      </c>
      <c r="C286" s="1737"/>
      <c r="D286" s="1737"/>
      <c r="E286" s="1737"/>
      <c r="F286" s="1729">
        <v>0.05</v>
      </c>
    </row>
    <row r="287" spans="1:6" ht="31" thickBot="1">
      <c r="A287" s="1723" t="s">
        <v>1389</v>
      </c>
      <c r="B287" s="1727" t="s">
        <v>1982</v>
      </c>
      <c r="C287" s="1737"/>
      <c r="D287" s="1737"/>
      <c r="E287" s="1737"/>
      <c r="F287" s="1729">
        <v>0.05</v>
      </c>
    </row>
    <row r="288" spans="1:6" ht="31" thickBot="1">
      <c r="A288" s="1723" t="s">
        <v>1389</v>
      </c>
      <c r="B288" s="1727" t="s">
        <v>1983</v>
      </c>
      <c r="C288" s="1737"/>
      <c r="D288" s="1737"/>
      <c r="E288" s="1737"/>
      <c r="F288" s="1729">
        <v>0.05</v>
      </c>
    </row>
    <row r="289" spans="1:6" ht="31" thickBot="1">
      <c r="A289" s="1731" t="s">
        <v>1389</v>
      </c>
      <c r="B289" s="1738" t="s">
        <v>1984</v>
      </c>
      <c r="C289" s="1734"/>
      <c r="D289" s="1734"/>
      <c r="E289" s="1734"/>
      <c r="F289" s="1739">
        <v>0.05</v>
      </c>
    </row>
    <row r="290" spans="1:6" ht="16" thickBot="1">
      <c r="A290" s="1723" t="s">
        <v>1393</v>
      </c>
      <c r="B290" s="1724" t="s">
        <v>1985</v>
      </c>
      <c r="C290" s="1725">
        <v>0.15</v>
      </c>
      <c r="D290" s="1725">
        <v>0.15</v>
      </c>
      <c r="E290" s="1725">
        <v>0.15</v>
      </c>
      <c r="F290" s="1747"/>
    </row>
    <row r="291" spans="1:6" ht="16" thickBot="1">
      <c r="A291" s="1723" t="s">
        <v>1393</v>
      </c>
      <c r="B291" s="1727" t="s">
        <v>1053</v>
      </c>
      <c r="C291" s="1728">
        <v>0.15</v>
      </c>
      <c r="D291" s="1728">
        <v>0.15</v>
      </c>
      <c r="E291" s="1728">
        <v>0.15</v>
      </c>
      <c r="F291" s="1736"/>
    </row>
    <row r="292" spans="1:6" ht="16" thickBot="1">
      <c r="A292" s="1723" t="s">
        <v>1393</v>
      </c>
      <c r="B292" s="1727" t="s">
        <v>1986</v>
      </c>
      <c r="C292" s="1728">
        <v>0.15</v>
      </c>
      <c r="D292" s="1728">
        <v>0.15</v>
      </c>
      <c r="E292" s="1728">
        <v>0.15</v>
      </c>
      <c r="F292" s="1729">
        <v>0.14699999999999999</v>
      </c>
    </row>
    <row r="293" spans="1:6" ht="16" thickBot="1">
      <c r="A293" s="1723" t="s">
        <v>1393</v>
      </c>
      <c r="B293" s="1727" t="s">
        <v>1987</v>
      </c>
      <c r="C293" s="1737"/>
      <c r="D293" s="1737"/>
      <c r="E293" s="1737"/>
      <c r="F293" s="1729">
        <v>0.1</v>
      </c>
    </row>
    <row r="294" spans="1:6" ht="16" thickBot="1">
      <c r="A294" s="1723" t="s">
        <v>1393</v>
      </c>
      <c r="B294" s="1727" t="s">
        <v>1988</v>
      </c>
      <c r="C294" s="1728">
        <v>0.15</v>
      </c>
      <c r="D294" s="1728">
        <v>0.15</v>
      </c>
      <c r="E294" s="1728">
        <v>0.15</v>
      </c>
      <c r="F294" s="1729">
        <v>0.15</v>
      </c>
    </row>
    <row r="295" spans="1:6" ht="16" thickBot="1">
      <c r="A295" s="1723" t="s">
        <v>1393</v>
      </c>
      <c r="B295" s="1727" t="s">
        <v>1094</v>
      </c>
      <c r="C295" s="1728">
        <v>0.15</v>
      </c>
      <c r="D295" s="1728">
        <v>0.15</v>
      </c>
      <c r="E295" s="1728">
        <v>0.15</v>
      </c>
      <c r="F295" s="1729">
        <v>0.15</v>
      </c>
    </row>
    <row r="296" spans="1:6" ht="16" thickBot="1">
      <c r="A296" s="1723" t="s">
        <v>1393</v>
      </c>
      <c r="B296" s="1727" t="s">
        <v>1989</v>
      </c>
      <c r="C296" s="1728">
        <v>0.15</v>
      </c>
      <c r="D296" s="1728">
        <v>0.15</v>
      </c>
      <c r="E296" s="1728">
        <v>0.15</v>
      </c>
      <c r="F296" s="1729">
        <v>0.15</v>
      </c>
    </row>
    <row r="297" spans="1:6" ht="16" thickBot="1">
      <c r="A297" s="1723" t="s">
        <v>1393</v>
      </c>
      <c r="B297" s="1727" t="s">
        <v>1990</v>
      </c>
      <c r="C297" s="1728">
        <v>0.14799999999999999</v>
      </c>
      <c r="D297" s="1728">
        <v>0.14899999999999999</v>
      </c>
      <c r="E297" s="1728">
        <v>0.15</v>
      </c>
      <c r="F297" s="1729">
        <v>0.13700000000000001</v>
      </c>
    </row>
    <row r="298" spans="1:6" ht="16" thickBot="1">
      <c r="A298" s="1723" t="s">
        <v>1393</v>
      </c>
      <c r="B298" s="1727" t="s">
        <v>1127</v>
      </c>
      <c r="C298" s="1728">
        <v>0.13400000000000001</v>
      </c>
      <c r="D298" s="1728">
        <v>0.13400000000000001</v>
      </c>
      <c r="E298" s="1728">
        <v>0.14499999999999999</v>
      </c>
      <c r="F298" s="1729">
        <v>0.14799999999999999</v>
      </c>
    </row>
    <row r="299" spans="1:6" ht="16" thickBot="1">
      <c r="A299" s="1723" t="s">
        <v>1393</v>
      </c>
      <c r="B299" s="1727" t="s">
        <v>1139</v>
      </c>
      <c r="C299" s="1728">
        <v>0.15</v>
      </c>
      <c r="D299" s="1728">
        <v>0.15</v>
      </c>
      <c r="E299" s="1728">
        <v>0.15</v>
      </c>
      <c r="F299" s="1736"/>
    </row>
    <row r="300" spans="1:6" ht="16" thickBot="1">
      <c r="A300" s="1723" t="s">
        <v>1393</v>
      </c>
      <c r="B300" s="1727" t="s">
        <v>1991</v>
      </c>
      <c r="C300" s="1728">
        <v>0.15</v>
      </c>
      <c r="D300" s="1728">
        <v>0.15</v>
      </c>
      <c r="E300" s="1728">
        <v>0.15</v>
      </c>
      <c r="F300" s="1729">
        <v>0.15</v>
      </c>
    </row>
    <row r="301" spans="1:6" ht="16" thickBot="1">
      <c r="A301" s="1723" t="s">
        <v>1393</v>
      </c>
      <c r="B301" s="1727" t="s">
        <v>1159</v>
      </c>
      <c r="C301" s="1728">
        <v>0.15</v>
      </c>
      <c r="D301" s="1728">
        <v>0.15</v>
      </c>
      <c r="E301" s="1728">
        <v>0.15</v>
      </c>
      <c r="F301" s="1736"/>
    </row>
    <row r="302" spans="1:6" ht="16" thickBot="1">
      <c r="A302" s="1723" t="s">
        <v>1393</v>
      </c>
      <c r="B302" s="1727" t="s">
        <v>1992</v>
      </c>
      <c r="C302" s="1728">
        <v>0.15</v>
      </c>
      <c r="D302" s="1728">
        <v>0.15</v>
      </c>
      <c r="E302" s="1728">
        <v>0.15</v>
      </c>
      <c r="F302" s="1729">
        <v>0.15</v>
      </c>
    </row>
    <row r="303" spans="1:6" ht="16" thickBot="1">
      <c r="A303" s="1723" t="s">
        <v>1393</v>
      </c>
      <c r="B303" s="1727" t="s">
        <v>1179</v>
      </c>
      <c r="C303" s="1728">
        <v>0.15</v>
      </c>
      <c r="D303" s="1728">
        <v>0.15</v>
      </c>
      <c r="E303" s="1728">
        <v>0.15</v>
      </c>
      <c r="F303" s="1729">
        <v>0.15</v>
      </c>
    </row>
    <row r="304" spans="1:6" ht="16" thickBot="1">
      <c r="A304" s="1723" t="s">
        <v>1393</v>
      </c>
      <c r="B304" s="1727" t="s">
        <v>1189</v>
      </c>
      <c r="C304" s="1728">
        <v>0.15</v>
      </c>
      <c r="D304" s="1728">
        <v>0.15</v>
      </c>
      <c r="E304" s="1728">
        <v>0.15</v>
      </c>
      <c r="F304" s="1736"/>
    </row>
    <row r="305" spans="1:6" ht="16" thickBot="1">
      <c r="A305" s="1723" t="s">
        <v>1393</v>
      </c>
      <c r="B305" s="1727" t="s">
        <v>1993</v>
      </c>
      <c r="C305" s="1728">
        <v>0.15</v>
      </c>
      <c r="D305" s="1728">
        <v>0.15</v>
      </c>
      <c r="E305" s="1728">
        <v>0.15</v>
      </c>
      <c r="F305" s="1729">
        <v>0.14000000000000001</v>
      </c>
    </row>
    <row r="306" spans="1:6" ht="16" thickBot="1">
      <c r="A306" s="1723" t="s">
        <v>1393</v>
      </c>
      <c r="B306" s="1727" t="s">
        <v>1209</v>
      </c>
      <c r="C306" s="1728">
        <v>0.15</v>
      </c>
      <c r="D306" s="1728">
        <v>0.15</v>
      </c>
      <c r="E306" s="1728">
        <v>0.15</v>
      </c>
      <c r="F306" s="1736"/>
    </row>
    <row r="307" spans="1:6" ht="16" thickBot="1">
      <c r="A307" s="1723" t="s">
        <v>1393</v>
      </c>
      <c r="B307" s="1727" t="s">
        <v>1994</v>
      </c>
      <c r="C307" s="1728">
        <v>0.15</v>
      </c>
      <c r="D307" s="1728">
        <v>0.15</v>
      </c>
      <c r="E307" s="1728">
        <v>0.15</v>
      </c>
      <c r="F307" s="1729">
        <v>0.14299999999999999</v>
      </c>
    </row>
    <row r="308" spans="1:6" ht="16" thickBot="1">
      <c r="A308" s="1723" t="s">
        <v>1393</v>
      </c>
      <c r="B308" s="1727" t="s">
        <v>1229</v>
      </c>
      <c r="C308" s="1728">
        <v>0.15</v>
      </c>
      <c r="D308" s="1728">
        <v>0.15</v>
      </c>
      <c r="E308" s="1728">
        <v>0.15</v>
      </c>
      <c r="F308" s="1729">
        <v>0.15</v>
      </c>
    </row>
    <row r="309" spans="1:6" ht="16" thickBot="1">
      <c r="A309" s="1723" t="s">
        <v>1393</v>
      </c>
      <c r="B309" s="1727" t="s">
        <v>1239</v>
      </c>
      <c r="C309" s="1728">
        <v>0.15</v>
      </c>
      <c r="D309" s="1728">
        <v>0.15</v>
      </c>
      <c r="E309" s="1728">
        <v>0.15</v>
      </c>
      <c r="F309" s="1736"/>
    </row>
    <row r="310" spans="1:6" ht="16" thickBot="1">
      <c r="A310" s="1723" t="s">
        <v>1393</v>
      </c>
      <c r="B310" s="1727" t="s">
        <v>1995</v>
      </c>
      <c r="C310" s="1728">
        <v>0.15</v>
      </c>
      <c r="D310" s="1728">
        <v>0.15</v>
      </c>
      <c r="E310" s="1728">
        <v>0.15</v>
      </c>
      <c r="F310" s="1729">
        <v>0.13700000000000001</v>
      </c>
    </row>
    <row r="311" spans="1:6" ht="16" thickBot="1">
      <c r="A311" s="1723" t="s">
        <v>1393</v>
      </c>
      <c r="B311" s="1727" t="s">
        <v>1996</v>
      </c>
      <c r="C311" s="1728">
        <v>0.15</v>
      </c>
      <c r="D311" s="1728">
        <v>0.15</v>
      </c>
      <c r="E311" s="1728">
        <v>0.15</v>
      </c>
      <c r="F311" s="1729">
        <v>0.15</v>
      </c>
    </row>
    <row r="312" spans="1:6" ht="16" thickBot="1">
      <c r="A312" s="1723" t="s">
        <v>1393</v>
      </c>
      <c r="B312" s="1727" t="s">
        <v>1265</v>
      </c>
      <c r="C312" s="1728">
        <v>0.15</v>
      </c>
      <c r="D312" s="1728">
        <v>0.15</v>
      </c>
      <c r="E312" s="1728">
        <v>0.15</v>
      </c>
      <c r="F312" s="1729">
        <v>0.1</v>
      </c>
    </row>
    <row r="313" spans="1:6" ht="16" thickBot="1">
      <c r="A313" s="1723" t="s">
        <v>1393</v>
      </c>
      <c r="B313" s="1727" t="s">
        <v>1997</v>
      </c>
      <c r="C313" s="1728">
        <v>0.15</v>
      </c>
      <c r="D313" s="1728">
        <v>0.15</v>
      </c>
      <c r="E313" s="1728">
        <v>0.15</v>
      </c>
      <c r="F313" s="1729">
        <v>0.15</v>
      </c>
    </row>
    <row r="314" spans="1:6" ht="31" thickBot="1">
      <c r="A314" s="1723" t="s">
        <v>1393</v>
      </c>
      <c r="B314" s="1727" t="s">
        <v>1998</v>
      </c>
      <c r="C314" s="1737"/>
      <c r="D314" s="1737"/>
      <c r="E314" s="1737"/>
      <c r="F314" s="1729">
        <v>0.05</v>
      </c>
    </row>
    <row r="315" spans="1:6" ht="31" thickBot="1">
      <c r="A315" s="1723" t="s">
        <v>1393</v>
      </c>
      <c r="B315" s="1727" t="s">
        <v>1999</v>
      </c>
      <c r="C315" s="1737"/>
      <c r="D315" s="1737"/>
      <c r="E315" s="1737"/>
      <c r="F315" s="1729">
        <v>0.05</v>
      </c>
    </row>
    <row r="316" spans="1:6" ht="31" thickBot="1">
      <c r="A316" s="1731" t="s">
        <v>1393</v>
      </c>
      <c r="B316" s="1738" t="s">
        <v>2000</v>
      </c>
      <c r="C316" s="1734"/>
      <c r="D316" s="1734"/>
      <c r="E316" s="1734"/>
      <c r="F316" s="1739">
        <v>0.05</v>
      </c>
    </row>
    <row r="317" spans="1:6" ht="16" thickBot="1">
      <c r="A317" s="1723" t="s">
        <v>2001</v>
      </c>
      <c r="B317" s="1724" t="s">
        <v>2002</v>
      </c>
      <c r="C317" s="1725">
        <v>0.15</v>
      </c>
      <c r="D317" s="1725">
        <v>0.15</v>
      </c>
      <c r="E317" s="1725">
        <v>0.15</v>
      </c>
      <c r="F317" s="1726">
        <v>0.15</v>
      </c>
    </row>
    <row r="318" spans="1:6" ht="16" thickBot="1">
      <c r="A318" s="1723" t="s">
        <v>2001</v>
      </c>
      <c r="B318" s="1727" t="s">
        <v>2003</v>
      </c>
      <c r="C318" s="1728">
        <v>0.107</v>
      </c>
      <c r="D318" s="1728">
        <v>0.11</v>
      </c>
      <c r="E318" s="1728">
        <v>0.112</v>
      </c>
      <c r="F318" s="1736"/>
    </row>
    <row r="319" spans="1:6" ht="16" thickBot="1">
      <c r="A319" s="1723" t="s">
        <v>2001</v>
      </c>
      <c r="B319" s="1727" t="s">
        <v>2004</v>
      </c>
      <c r="C319" s="1728">
        <v>0.15</v>
      </c>
      <c r="D319" s="1728">
        <v>0.15</v>
      </c>
      <c r="E319" s="1728">
        <v>0.15</v>
      </c>
      <c r="F319" s="1729">
        <v>0.15</v>
      </c>
    </row>
    <row r="320" spans="1:6" ht="16" thickBot="1">
      <c r="A320" s="1723" t="s">
        <v>2001</v>
      </c>
      <c r="B320" s="1727" t="s">
        <v>1081</v>
      </c>
      <c r="C320" s="1728">
        <v>0.15</v>
      </c>
      <c r="D320" s="1728">
        <v>0.15</v>
      </c>
      <c r="E320" s="1728">
        <v>0.15</v>
      </c>
      <c r="F320" s="1736"/>
    </row>
    <row r="321" spans="1:6" ht="16" thickBot="1">
      <c r="A321" s="1723" t="s">
        <v>2001</v>
      </c>
      <c r="B321" s="1727" t="s">
        <v>2005</v>
      </c>
      <c r="C321" s="1728">
        <v>0.15</v>
      </c>
      <c r="D321" s="1728">
        <v>0.15</v>
      </c>
      <c r="E321" s="1728">
        <v>0.15</v>
      </c>
      <c r="F321" s="1736"/>
    </row>
    <row r="322" spans="1:6" ht="16" thickBot="1">
      <c r="A322" s="1723" t="s">
        <v>2001</v>
      </c>
      <c r="B322" s="1727" t="s">
        <v>2006</v>
      </c>
      <c r="C322" s="1728">
        <v>0.15</v>
      </c>
      <c r="D322" s="1728">
        <v>0.15</v>
      </c>
      <c r="E322" s="1728">
        <v>0.15</v>
      </c>
      <c r="F322" s="1729">
        <v>0.15</v>
      </c>
    </row>
    <row r="323" spans="1:6" ht="16" thickBot="1">
      <c r="A323" s="1723" t="s">
        <v>2001</v>
      </c>
      <c r="B323" s="1727" t="s">
        <v>2007</v>
      </c>
      <c r="C323" s="1728">
        <v>0.15</v>
      </c>
      <c r="D323" s="1728">
        <v>0.15</v>
      </c>
      <c r="E323" s="1728">
        <v>0.15</v>
      </c>
      <c r="F323" s="1736"/>
    </row>
    <row r="324" spans="1:6" ht="16" thickBot="1">
      <c r="A324" s="1723" t="s">
        <v>2001</v>
      </c>
      <c r="B324" s="1727" t="s">
        <v>2008</v>
      </c>
      <c r="C324" s="1728">
        <v>0.15</v>
      </c>
      <c r="D324" s="1728">
        <v>0.15</v>
      </c>
      <c r="E324" s="1728">
        <v>0.15</v>
      </c>
      <c r="F324" s="1736"/>
    </row>
    <row r="325" spans="1:6" ht="16" thickBot="1">
      <c r="A325" s="1723" t="s">
        <v>2001</v>
      </c>
      <c r="B325" s="1727" t="s">
        <v>2009</v>
      </c>
      <c r="C325" s="1728">
        <v>0.15</v>
      </c>
      <c r="D325" s="1728">
        <v>0.15</v>
      </c>
      <c r="E325" s="1728">
        <v>0.15</v>
      </c>
      <c r="F325" s="1729">
        <v>0.14699999999999999</v>
      </c>
    </row>
    <row r="326" spans="1:6" ht="16" thickBot="1">
      <c r="A326" s="1723" t="s">
        <v>2001</v>
      </c>
      <c r="B326" s="1727" t="s">
        <v>1150</v>
      </c>
      <c r="C326" s="1728">
        <v>0.15</v>
      </c>
      <c r="D326" s="1728">
        <v>0.15</v>
      </c>
      <c r="E326" s="1728">
        <v>0.15</v>
      </c>
      <c r="F326" s="1736"/>
    </row>
    <row r="327" spans="1:6" ht="16" thickBot="1">
      <c r="A327" s="1723" t="s">
        <v>2001</v>
      </c>
      <c r="B327" s="1727" t="s">
        <v>2010</v>
      </c>
      <c r="C327" s="1728">
        <v>0.15</v>
      </c>
      <c r="D327" s="1728">
        <v>0.15</v>
      </c>
      <c r="E327" s="1728">
        <v>0.15</v>
      </c>
      <c r="F327" s="1729">
        <v>0.15</v>
      </c>
    </row>
    <row r="328" spans="1:6" ht="16" thickBot="1">
      <c r="A328" s="1723" t="s">
        <v>2001</v>
      </c>
      <c r="B328" s="1727" t="s">
        <v>1170</v>
      </c>
      <c r="C328" s="1728">
        <v>0.15</v>
      </c>
      <c r="D328" s="1728">
        <v>0.15</v>
      </c>
      <c r="E328" s="1728">
        <v>0.15</v>
      </c>
      <c r="F328" s="1729">
        <v>0.14099999999999999</v>
      </c>
    </row>
    <row r="329" spans="1:6" ht="16" thickBot="1">
      <c r="A329" s="1723" t="s">
        <v>2001</v>
      </c>
      <c r="B329" s="1727" t="s">
        <v>1180</v>
      </c>
      <c r="C329" s="1728">
        <v>0.15</v>
      </c>
      <c r="D329" s="1728">
        <v>0.15</v>
      </c>
      <c r="E329" s="1728">
        <v>0.15</v>
      </c>
      <c r="F329" s="1729">
        <v>0.15</v>
      </c>
    </row>
    <row r="330" spans="1:6" ht="16" thickBot="1">
      <c r="A330" s="1723" t="s">
        <v>2001</v>
      </c>
      <c r="B330" s="1727" t="s">
        <v>1190</v>
      </c>
      <c r="C330" s="1728">
        <v>0.15</v>
      </c>
      <c r="D330" s="1728">
        <v>0.15</v>
      </c>
      <c r="E330" s="1728">
        <v>0.15</v>
      </c>
      <c r="F330" s="1736"/>
    </row>
    <row r="331" spans="1:6" ht="16" thickBot="1">
      <c r="A331" s="1723" t="s">
        <v>2001</v>
      </c>
      <c r="B331" s="1727" t="s">
        <v>2011</v>
      </c>
      <c r="C331" s="1728">
        <v>0.15</v>
      </c>
      <c r="D331" s="1728">
        <v>0.15</v>
      </c>
      <c r="E331" s="1728">
        <v>0.15</v>
      </c>
      <c r="F331" s="1729">
        <v>0.15</v>
      </c>
    </row>
    <row r="332" spans="1:6" ht="16" thickBot="1">
      <c r="A332" s="1723" t="s">
        <v>2001</v>
      </c>
      <c r="B332" s="1727" t="s">
        <v>1210</v>
      </c>
      <c r="C332" s="1728">
        <v>0.15</v>
      </c>
      <c r="D332" s="1728">
        <v>0.15</v>
      </c>
      <c r="E332" s="1728">
        <v>0.15</v>
      </c>
      <c r="F332" s="1729">
        <v>0.15</v>
      </c>
    </row>
    <row r="333" spans="1:6" ht="16" thickBot="1">
      <c r="A333" s="1723" t="s">
        <v>2001</v>
      </c>
      <c r="B333" s="1727" t="s">
        <v>2012</v>
      </c>
      <c r="C333" s="1728">
        <v>0.15</v>
      </c>
      <c r="D333" s="1728">
        <v>0.15</v>
      </c>
      <c r="E333" s="1728">
        <v>0.15</v>
      </c>
      <c r="F333" s="1729">
        <v>0.14099999999999999</v>
      </c>
    </row>
    <row r="334" spans="1:6" ht="16" thickBot="1">
      <c r="A334" s="1723" t="s">
        <v>2001</v>
      </c>
      <c r="B334" s="1727" t="s">
        <v>1230</v>
      </c>
      <c r="C334" s="1728">
        <v>0.15</v>
      </c>
      <c r="D334" s="1728">
        <v>0.15</v>
      </c>
      <c r="E334" s="1728">
        <v>0.15</v>
      </c>
      <c r="F334" s="1729">
        <v>0.15</v>
      </c>
    </row>
    <row r="335" spans="1:6" ht="16" thickBot="1">
      <c r="A335" s="1723" t="s">
        <v>2001</v>
      </c>
      <c r="B335" s="1727" t="s">
        <v>1240</v>
      </c>
      <c r="C335" s="1728">
        <v>0.15</v>
      </c>
      <c r="D335" s="1728">
        <v>0.15</v>
      </c>
      <c r="E335" s="1728">
        <v>0.15</v>
      </c>
      <c r="F335" s="1736"/>
    </row>
    <row r="336" spans="1:6" ht="16" thickBot="1">
      <c r="A336" s="1723" t="s">
        <v>2001</v>
      </c>
      <c r="B336" s="1727" t="s">
        <v>2013</v>
      </c>
      <c r="C336" s="1728">
        <v>0.15</v>
      </c>
      <c r="D336" s="1728">
        <v>0.15</v>
      </c>
      <c r="E336" s="1728">
        <v>0.15</v>
      </c>
      <c r="F336" s="1729">
        <v>0.11799999999999999</v>
      </c>
    </row>
    <row r="337" spans="1:6" ht="16" thickBot="1">
      <c r="A337" s="1731" t="s">
        <v>2001</v>
      </c>
      <c r="B337" s="1738" t="s">
        <v>1258</v>
      </c>
      <c r="C337" s="1734"/>
      <c r="D337" s="1734"/>
      <c r="E337" s="1734"/>
      <c r="F337" s="1739">
        <v>0.14299999999999999</v>
      </c>
    </row>
    <row r="338" spans="1:6" ht="16" thickBot="1">
      <c r="A338" s="1723" t="s">
        <v>2014</v>
      </c>
      <c r="B338" s="1724" t="s">
        <v>2015</v>
      </c>
      <c r="C338" s="1725">
        <v>0.15</v>
      </c>
      <c r="D338" s="1725">
        <v>0.15</v>
      </c>
      <c r="E338" s="1725">
        <v>0.15</v>
      </c>
      <c r="F338" s="1747"/>
    </row>
    <row r="339" spans="1:6" ht="16" thickBot="1">
      <c r="A339" s="1723" t="s">
        <v>2014</v>
      </c>
      <c r="B339" s="1727" t="s">
        <v>2016</v>
      </c>
      <c r="C339" s="1728">
        <v>0.15</v>
      </c>
      <c r="D339" s="1728">
        <v>0.15</v>
      </c>
      <c r="E339" s="1728">
        <v>0.15</v>
      </c>
      <c r="F339" s="1736"/>
    </row>
    <row r="340" spans="1:6" ht="16" thickBot="1">
      <c r="A340" s="1723" t="s">
        <v>2014</v>
      </c>
      <c r="B340" s="1727" t="s">
        <v>2017</v>
      </c>
      <c r="C340" s="1728">
        <v>0.15</v>
      </c>
      <c r="D340" s="1728">
        <v>0.15</v>
      </c>
      <c r="E340" s="1728">
        <v>0.15</v>
      </c>
      <c r="F340" s="1736"/>
    </row>
    <row r="341" spans="1:6" ht="16" thickBot="1">
      <c r="A341" s="1723" t="s">
        <v>2018</v>
      </c>
      <c r="B341" s="1727" t="s">
        <v>2019</v>
      </c>
      <c r="C341" s="1728">
        <v>0.15</v>
      </c>
      <c r="D341" s="1728">
        <v>0.15</v>
      </c>
      <c r="E341" s="1728">
        <v>0.15</v>
      </c>
      <c r="F341" s="1729">
        <v>0.15</v>
      </c>
    </row>
    <row r="342" spans="1:6" ht="16" thickBot="1">
      <c r="A342" s="1723" t="s">
        <v>2014</v>
      </c>
      <c r="B342" s="1727" t="s">
        <v>2020</v>
      </c>
      <c r="C342" s="1728">
        <v>0.15</v>
      </c>
      <c r="D342" s="1728">
        <v>0.15</v>
      </c>
      <c r="E342" s="1728">
        <v>0.15</v>
      </c>
      <c r="F342" s="1729">
        <v>0.15</v>
      </c>
    </row>
    <row r="343" spans="1:6" ht="16" thickBot="1">
      <c r="A343" s="1723" t="s">
        <v>2014</v>
      </c>
      <c r="B343" s="1727" t="s">
        <v>2021</v>
      </c>
      <c r="C343" s="1728">
        <v>0.15</v>
      </c>
      <c r="D343" s="1728">
        <v>0.15</v>
      </c>
      <c r="E343" s="1728">
        <v>0.15</v>
      </c>
      <c r="F343" s="1729">
        <v>0.15</v>
      </c>
    </row>
    <row r="344" spans="1:6" ht="16"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baseColWidth="10" defaultColWidth="9" defaultRowHeight="13"/>
  <cols>
    <col min="1" max="1" width="9" style="2833"/>
    <col min="2" max="6" width="9" style="2833" customWidth="1"/>
    <col min="7" max="7" width="9" style="2861" customWidth="1"/>
    <col min="8" max="12" width="9" style="2833" customWidth="1"/>
    <col min="13" max="13" width="2.1640625" style="2833" customWidth="1"/>
    <col min="14" max="14" width="9" style="2861" customWidth="1"/>
    <col min="15" max="17" width="9" style="2833" customWidth="1"/>
    <col min="18" max="18" width="2.33203125" style="2833" customWidth="1"/>
    <col min="19" max="19" width="7.1640625" style="2861" customWidth="1"/>
    <col min="20" max="22" width="7.1640625" style="2833" customWidth="1"/>
    <col min="23" max="23" width="24" style="2833" customWidth="1"/>
    <col min="24" max="25" width="9" style="2833"/>
    <col min="26" max="27" width="11.6640625" style="2833" customWidth="1"/>
    <col min="28" max="28" width="9" style="2833"/>
    <col min="29" max="29" width="2" style="2833" customWidth="1"/>
    <col min="30" max="16384" width="9" style="2833"/>
  </cols>
  <sheetData>
    <row r="1" spans="1:34" s="2811" customFormat="1" ht="14">
      <c r="B1" s="3745" t="s">
        <v>2347</v>
      </c>
      <c r="C1" s="3745"/>
      <c r="D1" s="3745"/>
      <c r="E1" s="3745"/>
      <c r="F1" s="3745"/>
      <c r="G1" s="3744" t="s">
        <v>2348</v>
      </c>
      <c r="H1" s="3744"/>
      <c r="I1" s="3744"/>
      <c r="J1" s="3744"/>
      <c r="K1" s="3744"/>
      <c r="L1" s="3744"/>
      <c r="N1" s="3744" t="s">
        <v>2349</v>
      </c>
      <c r="O1" s="3744"/>
      <c r="P1" s="3744"/>
      <c r="Q1" s="3744"/>
      <c r="S1" s="3744" t="s">
        <v>2350</v>
      </c>
      <c r="T1" s="3744"/>
      <c r="U1" s="3744"/>
      <c r="V1" s="3744"/>
      <c r="X1" s="3743" t="s">
        <v>2410</v>
      </c>
      <c r="Y1" s="3744"/>
      <c r="Z1" s="3744"/>
      <c r="AA1" s="3744"/>
      <c r="AB1" s="3744"/>
      <c r="AD1" s="3743" t="s">
        <v>2414</v>
      </c>
      <c r="AE1" s="3744"/>
      <c r="AF1" s="3744"/>
      <c r="AG1" s="3744"/>
      <c r="AH1" s="3744"/>
    </row>
    <row r="2" spans="1:34" s="2812" customFormat="1" ht="1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ht="14">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ht="14">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ht="14">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ht="14">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ht="14">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ht="14">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ht="14">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ht="14">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ht="14">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ht="14">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ht="14">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ht="14">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ht="14">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ht="14">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ht="14">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ht="14">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39">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39"/>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39"/>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40"/>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ht="14">
      <c r="A26" s="2835" t="s">
        <v>2720</v>
      </c>
      <c r="B26" s="2852">
        <v>439</v>
      </c>
      <c r="C26" s="2852">
        <v>327</v>
      </c>
      <c r="D26" s="2852">
        <f t="shared" si="212"/>
        <v>327</v>
      </c>
      <c r="E26" s="2852">
        <v>627</v>
      </c>
      <c r="F26" s="2853">
        <v>283</v>
      </c>
      <c r="G26" s="3738">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39"/>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39"/>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40"/>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ht="14">
      <c r="A30" s="2835" t="s">
        <v>944</v>
      </c>
      <c r="B30" s="2857">
        <v>392</v>
      </c>
      <c r="C30" s="2857">
        <v>302</v>
      </c>
      <c r="D30" s="2857">
        <f t="shared" si="212"/>
        <v>302</v>
      </c>
      <c r="E30" s="2857">
        <v>553</v>
      </c>
      <c r="F30" s="2858">
        <v>266</v>
      </c>
      <c r="G30" s="3738">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ht="1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39"/>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ht="1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39"/>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42"/>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5" thickBot="1">
      <c r="A34" s="2835" t="s">
        <v>941</v>
      </c>
      <c r="B34" s="2857">
        <v>333</v>
      </c>
      <c r="C34" s="2857">
        <v>277</v>
      </c>
      <c r="D34" s="2857">
        <f t="shared" si="233"/>
        <v>277</v>
      </c>
      <c r="E34" s="2857">
        <v>459</v>
      </c>
      <c r="F34" s="2858">
        <v>249</v>
      </c>
      <c r="G34" s="3741">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ht="1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39"/>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ht="1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39"/>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ht="1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42"/>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5" thickBot="1">
      <c r="A38" s="2835" t="s">
        <v>937</v>
      </c>
      <c r="B38" s="2864">
        <v>318</v>
      </c>
      <c r="C38" s="2864">
        <v>268</v>
      </c>
      <c r="D38" s="2864">
        <f t="shared" si="233"/>
        <v>268</v>
      </c>
      <c r="E38" s="2864">
        <v>437</v>
      </c>
      <c r="F38" s="2865">
        <v>237</v>
      </c>
      <c r="G38" s="3741">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ht="1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39"/>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39"/>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42"/>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5" thickBot="1">
      <c r="A42" s="2835" t="s">
        <v>2354</v>
      </c>
      <c r="B42" s="2857">
        <v>299</v>
      </c>
      <c r="C42" s="2857">
        <v>252</v>
      </c>
      <c r="D42" s="2857">
        <f t="shared" si="233"/>
        <v>252</v>
      </c>
      <c r="E42" s="2857">
        <v>409</v>
      </c>
      <c r="F42" s="2858">
        <v>227</v>
      </c>
      <c r="G42" s="3746">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ht="1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47"/>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ht="1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47"/>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ht="1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48"/>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5" thickBot="1">
      <c r="A46" s="2835" t="s">
        <v>2358</v>
      </c>
      <c r="B46" s="2885">
        <v>278</v>
      </c>
      <c r="C46" s="2885">
        <v>234</v>
      </c>
      <c r="D46" s="2885">
        <f t="shared" si="233"/>
        <v>234</v>
      </c>
      <c r="E46" s="2885">
        <v>379</v>
      </c>
      <c r="F46" s="2886">
        <v>220</v>
      </c>
      <c r="G46" s="3741">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ht="1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39"/>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ht="1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39"/>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5" thickBot="1">
      <c r="A49" s="2835" t="s">
        <v>2361</v>
      </c>
      <c r="B49" s="2836">
        <f>B48/(1+N48)</f>
        <v>275.19025476197027</v>
      </c>
      <c r="C49" s="2887">
        <v>232</v>
      </c>
      <c r="D49" s="2887">
        <f t="shared" si="233"/>
        <v>232</v>
      </c>
      <c r="E49" s="2836">
        <f t="shared" si="243"/>
        <v>375.65990977608692</v>
      </c>
      <c r="F49" s="2836">
        <f t="shared" si="243"/>
        <v>214.12518283971252</v>
      </c>
      <c r="G49" s="3742"/>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5" thickBot="1">
      <c r="A50" s="2835" t="s">
        <v>2362</v>
      </c>
      <c r="B50" s="2857">
        <v>275</v>
      </c>
      <c r="C50" s="2857">
        <v>232</v>
      </c>
      <c r="D50" s="2857">
        <f t="shared" si="233"/>
        <v>232</v>
      </c>
      <c r="E50" s="2857">
        <v>376</v>
      </c>
      <c r="F50" s="2858">
        <v>213</v>
      </c>
      <c r="G50" s="3741">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ht="14">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39">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ht="14">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39">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42">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5" thickBot="1">
      <c r="A54" s="2835" t="s">
        <v>2366</v>
      </c>
      <c r="B54" s="2857">
        <v>269</v>
      </c>
      <c r="C54" s="2857">
        <v>221</v>
      </c>
      <c r="D54" s="2857">
        <f t="shared" si="233"/>
        <v>221</v>
      </c>
      <c r="E54" s="2857">
        <v>373</v>
      </c>
      <c r="F54" s="2858">
        <v>196</v>
      </c>
      <c r="G54" s="3741">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ht="14">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39">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ht="14">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39">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42">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5" thickBot="1">
      <c r="A58" s="2835" t="s">
        <v>2370</v>
      </c>
      <c r="B58" s="2857">
        <v>220</v>
      </c>
      <c r="C58" s="2857">
        <v>187</v>
      </c>
      <c r="D58" s="2857">
        <f t="shared" si="233"/>
        <v>187</v>
      </c>
      <c r="E58" s="2857">
        <v>301</v>
      </c>
      <c r="F58" s="2858">
        <v>168</v>
      </c>
      <c r="G58" s="3741">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ht="14">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39">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ht="14">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39">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ht="14">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42">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5" thickBot="1">
      <c r="A62" s="2835" t="s">
        <v>2374</v>
      </c>
      <c r="B62" s="2885">
        <v>214</v>
      </c>
      <c r="C62" s="2885">
        <v>188</v>
      </c>
      <c r="D62" s="2885">
        <f t="shared" si="233"/>
        <v>188</v>
      </c>
      <c r="E62" s="2885">
        <v>289</v>
      </c>
      <c r="F62" s="2886">
        <v>166</v>
      </c>
      <c r="G62" s="3741">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ht="14">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39">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ht="14">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39">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42">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5" thickBot="1">
      <c r="A66" s="2835" t="s">
        <v>2378</v>
      </c>
      <c r="B66" s="2857">
        <v>188</v>
      </c>
      <c r="C66" s="2857">
        <v>165</v>
      </c>
      <c r="D66" s="2857">
        <f t="shared" si="233"/>
        <v>165</v>
      </c>
      <c r="E66" s="2857">
        <v>254</v>
      </c>
      <c r="F66" s="2858">
        <v>148</v>
      </c>
      <c r="G66" s="3741">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ht="14">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39">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ht="14">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39">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ht="14">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42">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5" thickBot="1">
      <c r="A70" s="2835" t="s">
        <v>2382</v>
      </c>
      <c r="B70" s="2864">
        <v>159</v>
      </c>
      <c r="C70" s="2864">
        <v>141</v>
      </c>
      <c r="D70" s="2864">
        <f t="shared" si="233"/>
        <v>141</v>
      </c>
      <c r="E70" s="2864">
        <v>195</v>
      </c>
      <c r="F70" s="2865">
        <v>122</v>
      </c>
      <c r="G70" s="3741">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ht="14">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39">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ht="14">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39">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ht="14">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42">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5" thickBot="1">
      <c r="A74" s="2835" t="s">
        <v>2386</v>
      </c>
      <c r="B74" s="2864">
        <v>138</v>
      </c>
      <c r="C74" s="2864">
        <v>131</v>
      </c>
      <c r="D74" s="2864">
        <f t="shared" si="233"/>
        <v>131</v>
      </c>
      <c r="E74" s="2864">
        <v>155</v>
      </c>
      <c r="F74" s="2865">
        <v>114</v>
      </c>
      <c r="G74" s="3741">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ht="14">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39">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ht="14">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39">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ht="14">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42">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5" thickBot="1">
      <c r="A78" s="2835" t="s">
        <v>2390</v>
      </c>
      <c r="B78" s="2885">
        <v>121</v>
      </c>
      <c r="C78" s="2885">
        <v>122</v>
      </c>
      <c r="D78" s="2885">
        <f t="shared" si="233"/>
        <v>122</v>
      </c>
      <c r="E78" s="2885">
        <v>124</v>
      </c>
      <c r="F78" s="2886">
        <v>107</v>
      </c>
      <c r="G78" s="3741">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ht="14">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39">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ht="14">
      <c r="A80" s="2835" t="s">
        <v>2392</v>
      </c>
      <c r="B80" s="2836">
        <f t="shared" si="266"/>
        <v>116.99099099099099</v>
      </c>
      <c r="C80" s="2836">
        <f t="shared" si="266"/>
        <v>118.84848484848486</v>
      </c>
      <c r="D80" s="2836">
        <f t="shared" si="233"/>
        <v>118.84848484848486</v>
      </c>
      <c r="E80" s="2836">
        <f t="shared" si="267"/>
        <v>117.60960960960961</v>
      </c>
      <c r="F80" s="2836">
        <f t="shared" si="267"/>
        <v>104</v>
      </c>
      <c r="G80" s="3739">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42">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5" thickBot="1">
      <c r="A82" s="2835" t="s">
        <v>2394</v>
      </c>
      <c r="B82" s="2905">
        <v>111</v>
      </c>
      <c r="C82" s="2905">
        <v>114</v>
      </c>
      <c r="D82" s="2905">
        <f t="shared" si="233"/>
        <v>114</v>
      </c>
      <c r="E82" s="2905">
        <v>108</v>
      </c>
      <c r="F82" s="2906">
        <v>104</v>
      </c>
      <c r="G82" s="3741">
        <v>2003</v>
      </c>
      <c r="H82" s="2895">
        <v>4</v>
      </c>
      <c r="I82" s="2907"/>
      <c r="J82" s="2907"/>
      <c r="K82" s="2907"/>
      <c r="L82" s="2907"/>
      <c r="N82" s="2908"/>
      <c r="O82" s="2907"/>
      <c r="P82" s="2907"/>
      <c r="Q82" s="2907"/>
      <c r="S82" s="2908"/>
      <c r="T82" s="2907"/>
      <c r="U82" s="2907"/>
      <c r="V82" s="2907"/>
      <c r="X82" s="2899"/>
      <c r="Y82" s="2899"/>
      <c r="Z82" s="2899"/>
    </row>
    <row r="83" spans="1:26" ht="14">
      <c r="A83" s="2835" t="s">
        <v>2395</v>
      </c>
      <c r="B83" s="2909">
        <f t="shared" ref="B83:C85" si="268">B84+(B$82-B$86)/4</f>
        <v>109.75</v>
      </c>
      <c r="C83" s="2909">
        <f t="shared" si="268"/>
        <v>112.25</v>
      </c>
      <c r="D83" s="2909">
        <f t="shared" si="233"/>
        <v>112.25</v>
      </c>
      <c r="E83" s="2909">
        <f t="shared" ref="E83:F85" si="269">E84+(E$82-E$86)/4</f>
        <v>107.25</v>
      </c>
      <c r="F83" s="2909">
        <f t="shared" si="269"/>
        <v>103.5</v>
      </c>
      <c r="G83" s="3739">
        <v>2003</v>
      </c>
      <c r="H83" s="2862">
        <v>3</v>
      </c>
      <c r="I83" s="2907"/>
      <c r="J83" s="2907"/>
      <c r="K83" s="2907"/>
      <c r="L83" s="2907"/>
      <c r="X83" s="2899"/>
      <c r="Y83" s="2899"/>
      <c r="Z83" s="2899"/>
    </row>
    <row r="84" spans="1:26" ht="14">
      <c r="A84" s="2835" t="s">
        <v>2396</v>
      </c>
      <c r="B84" s="2909">
        <f t="shared" si="268"/>
        <v>108.5</v>
      </c>
      <c r="C84" s="2909">
        <f t="shared" si="268"/>
        <v>110.5</v>
      </c>
      <c r="D84" s="2909">
        <f t="shared" si="233"/>
        <v>110.5</v>
      </c>
      <c r="E84" s="2909">
        <f t="shared" si="269"/>
        <v>106.5</v>
      </c>
      <c r="F84" s="2909">
        <f t="shared" si="269"/>
        <v>103</v>
      </c>
      <c r="G84" s="3739">
        <v>2003</v>
      </c>
      <c r="H84" s="2850">
        <v>2</v>
      </c>
      <c r="I84" s="2907"/>
      <c r="J84" s="2907"/>
      <c r="K84" s="2907"/>
      <c r="L84" s="2907"/>
      <c r="X84" s="2899"/>
      <c r="Y84" s="2899"/>
      <c r="Z84" s="2899"/>
    </row>
    <row r="85" spans="1:26" ht="15" thickBot="1">
      <c r="A85" s="2835" t="s">
        <v>2397</v>
      </c>
      <c r="B85" s="2909">
        <f t="shared" si="268"/>
        <v>107.25</v>
      </c>
      <c r="C85" s="2909">
        <f t="shared" si="268"/>
        <v>108.75</v>
      </c>
      <c r="D85" s="2909">
        <f t="shared" si="233"/>
        <v>108.75</v>
      </c>
      <c r="E85" s="2909">
        <f t="shared" si="269"/>
        <v>105.75</v>
      </c>
      <c r="F85" s="2909">
        <f t="shared" si="269"/>
        <v>102.5</v>
      </c>
      <c r="G85" s="3742">
        <v>2003</v>
      </c>
      <c r="H85" s="2910">
        <v>1</v>
      </c>
      <c r="I85" s="2907"/>
      <c r="J85" s="2907"/>
      <c r="K85" s="2907"/>
      <c r="L85" s="2907"/>
      <c r="S85" s="2838"/>
      <c r="T85" s="2834"/>
      <c r="U85" s="2834"/>
      <c r="X85" s="2899"/>
      <c r="Y85" s="2899"/>
      <c r="Z85" s="2899"/>
    </row>
    <row r="86" spans="1:26" ht="15" thickBot="1">
      <c r="A86" s="2835" t="s">
        <v>2398</v>
      </c>
      <c r="B86" s="2911">
        <v>106</v>
      </c>
      <c r="C86" s="2911">
        <v>107</v>
      </c>
      <c r="D86" s="2911">
        <f t="shared" si="233"/>
        <v>107</v>
      </c>
      <c r="E86" s="2911">
        <v>105</v>
      </c>
      <c r="F86" s="2912">
        <v>102</v>
      </c>
      <c r="G86" s="3741">
        <v>2002</v>
      </c>
      <c r="H86" s="2859">
        <v>4</v>
      </c>
      <c r="I86" s="2907"/>
      <c r="J86" s="2907"/>
      <c r="K86" s="2907"/>
      <c r="L86" s="2907"/>
      <c r="N86" s="2908"/>
      <c r="O86" s="2907"/>
      <c r="P86" s="2907"/>
      <c r="Q86" s="2907"/>
      <c r="S86" s="2908"/>
      <c r="T86" s="2907"/>
      <c r="U86" s="2907"/>
      <c r="V86" s="2907"/>
      <c r="X86" s="2899"/>
      <c r="Y86" s="2899"/>
      <c r="Z86" s="2899"/>
    </row>
    <row r="87" spans="1:26" ht="14">
      <c r="A87" s="2835" t="s">
        <v>2399</v>
      </c>
      <c r="B87" s="2909">
        <f t="shared" ref="B87:C89" si="270">B88+(B$86-B$90)/4</f>
        <v>105</v>
      </c>
      <c r="C87" s="2909">
        <f t="shared" si="270"/>
        <v>106</v>
      </c>
      <c r="D87" s="2909">
        <f t="shared" si="233"/>
        <v>106</v>
      </c>
      <c r="E87" s="2909">
        <f t="shared" ref="E87:F89" si="271">E88+(E$86-E$90)/4</f>
        <v>104.5</v>
      </c>
      <c r="F87" s="2909">
        <f t="shared" si="271"/>
        <v>101.5</v>
      </c>
      <c r="G87" s="3739">
        <v>2002</v>
      </c>
      <c r="H87" s="2862">
        <v>3</v>
      </c>
      <c r="I87" s="2907"/>
      <c r="J87" s="2907"/>
      <c r="K87" s="2907"/>
      <c r="L87" s="2907"/>
      <c r="X87" s="2899"/>
      <c r="Y87" s="2899"/>
      <c r="Z87" s="2899"/>
    </row>
    <row r="88" spans="1:26" ht="14">
      <c r="A88" s="2835" t="s">
        <v>2400</v>
      </c>
      <c r="B88" s="2909">
        <f t="shared" si="270"/>
        <v>104</v>
      </c>
      <c r="C88" s="2909">
        <f t="shared" si="270"/>
        <v>105</v>
      </c>
      <c r="D88" s="2909">
        <f t="shared" si="233"/>
        <v>105</v>
      </c>
      <c r="E88" s="2909">
        <f t="shared" si="271"/>
        <v>104</v>
      </c>
      <c r="F88" s="2909">
        <f t="shared" si="271"/>
        <v>101</v>
      </c>
      <c r="G88" s="3739">
        <v>2002</v>
      </c>
      <c r="H88" s="2850">
        <v>2</v>
      </c>
      <c r="I88" s="2907"/>
      <c r="J88" s="2907"/>
      <c r="K88" s="2907"/>
      <c r="L88" s="2907"/>
      <c r="X88" s="2899"/>
      <c r="Y88" s="2899"/>
      <c r="Z88" s="2899"/>
    </row>
    <row r="89" spans="1:26" s="2872" customFormat="1" ht="15" thickBot="1">
      <c r="A89" s="2868" t="s">
        <v>2401</v>
      </c>
      <c r="B89" s="2875">
        <f t="shared" si="270"/>
        <v>103</v>
      </c>
      <c r="C89" s="2875">
        <f t="shared" si="270"/>
        <v>104</v>
      </c>
      <c r="D89" s="2875">
        <f t="shared" si="233"/>
        <v>104</v>
      </c>
      <c r="E89" s="2875">
        <f t="shared" si="271"/>
        <v>103.5</v>
      </c>
      <c r="F89" s="2875">
        <f t="shared" si="271"/>
        <v>100.5</v>
      </c>
      <c r="G89" s="3742">
        <v>2002</v>
      </c>
      <c r="H89" s="2913">
        <v>1</v>
      </c>
      <c r="I89" s="2914"/>
      <c r="J89" s="2914"/>
      <c r="K89" s="2914"/>
      <c r="L89" s="2914"/>
      <c r="N89" s="2915"/>
      <c r="S89" s="2915"/>
      <c r="X89" s="2916"/>
      <c r="Y89" s="2916"/>
      <c r="Z89" s="2916"/>
    </row>
    <row r="90" spans="1:26" ht="14"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ht="14">
      <c r="A92" s="2920" t="s">
        <v>2402</v>
      </c>
      <c r="G92" s="2922"/>
      <c r="N92" s="2922"/>
      <c r="S92" s="2922"/>
    </row>
    <row r="93" spans="1:26" s="2921" customFormat="1" ht="14">
      <c r="A93" s="2921" t="s">
        <v>2403</v>
      </c>
      <c r="G93" s="2922"/>
      <c r="N93" s="2922"/>
      <c r="S93" s="2922"/>
    </row>
    <row r="94" spans="1:26" s="2921" customFormat="1" ht="14">
      <c r="A94" s="2921" t="s">
        <v>2404</v>
      </c>
      <c r="G94" s="2922"/>
      <c r="I94" s="2923"/>
      <c r="J94" s="2923"/>
      <c r="K94" s="2923"/>
      <c r="L94" s="2923"/>
      <c r="N94" s="2924"/>
      <c r="O94" s="2923"/>
      <c r="P94" s="2923"/>
      <c r="Q94" s="2923"/>
      <c r="S94" s="2924"/>
      <c r="T94" s="2923"/>
      <c r="U94" s="2923"/>
      <c r="V94" s="2923"/>
    </row>
    <row r="95" spans="1:26" s="2921" customFormat="1" ht="14">
      <c r="A95" s="2921" t="s">
        <v>2405</v>
      </c>
      <c r="G95" s="2922"/>
      <c r="N95" s="2922"/>
      <c r="S95" s="2922"/>
    </row>
    <row r="102" spans="7:22" ht="14" thickBot="1"/>
    <row r="103" spans="7:22" ht="15">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4"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baseColWidth="10" defaultColWidth="8.83203125" defaultRowHeight="14"/>
  <cols>
    <col min="1" max="1" width="22.6640625" style="3184" customWidth="1"/>
    <col min="2" max="2" width="12.5" style="3184" customWidth="1"/>
    <col min="3" max="3" width="12.1640625" style="3184" customWidth="1"/>
    <col min="4" max="4" width="16.6640625" style="3184" customWidth="1"/>
    <col min="5" max="5" width="12.5" style="3184" customWidth="1"/>
    <col min="6" max="6" width="12.6640625" style="3184" customWidth="1"/>
    <col min="7" max="16384" width="8.83203125" style="3184"/>
  </cols>
  <sheetData>
    <row r="1" spans="1:14" ht="19">
      <c r="A1" s="3187" t="s">
        <v>2704</v>
      </c>
      <c r="B1" s="3182"/>
      <c r="C1" s="3182"/>
      <c r="D1" s="3182"/>
      <c r="E1" s="3182"/>
      <c r="F1" s="3182"/>
      <c r="G1" s="3183"/>
      <c r="H1" s="3183"/>
      <c r="I1" s="3183"/>
      <c r="J1" s="3183"/>
      <c r="K1" s="3183"/>
      <c r="L1" s="3183"/>
      <c r="M1" s="3183"/>
      <c r="N1" s="3183"/>
    </row>
    <row r="2" spans="1:14" ht="15">
      <c r="A2" s="3188" t="s">
        <v>2699</v>
      </c>
      <c r="B2" s="3193">
        <f ca="1">SUMIF(B7:B14,"&lt;&gt;#ref!",B7:B14)</f>
        <v>0</v>
      </c>
      <c r="C2" s="3188" t="s">
        <v>2700</v>
      </c>
      <c r="D2" s="3185"/>
      <c r="E2" s="3185"/>
      <c r="F2" s="3185"/>
      <c r="G2" s="3183"/>
      <c r="H2" s="3183"/>
      <c r="I2" s="3183"/>
      <c r="J2" s="3183"/>
      <c r="K2" s="3183"/>
      <c r="L2" s="3183"/>
      <c r="M2" s="3183"/>
      <c r="N2" s="3183"/>
    </row>
    <row r="3" spans="1:14" ht="1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5">
      <c r="A5" s="3189"/>
      <c r="B5" s="3185"/>
      <c r="C5" s="3185"/>
      <c r="D5" s="3185"/>
      <c r="E5" s="3185"/>
      <c r="F5" s="3185"/>
      <c r="G5" s="3183"/>
      <c r="H5" s="3183"/>
      <c r="I5" s="3183"/>
      <c r="J5" s="3183"/>
      <c r="K5" s="3183"/>
      <c r="L5" s="3183"/>
      <c r="M5" s="3183"/>
      <c r="N5" s="3183"/>
    </row>
    <row r="6" spans="1:14" ht="32">
      <c r="A6" s="3190" t="s">
        <v>2705</v>
      </c>
      <c r="B6" s="3188" t="s">
        <v>2702</v>
      </c>
      <c r="C6" s="2737"/>
      <c r="D6" s="3185"/>
      <c r="E6" s="3188" t="s">
        <v>2703</v>
      </c>
      <c r="F6" s="3188" t="s">
        <v>2706</v>
      </c>
      <c r="G6" s="3183"/>
      <c r="H6" s="3183"/>
      <c r="I6" s="3183"/>
      <c r="J6" s="3183"/>
      <c r="K6" s="3183"/>
      <c r="L6" s="3183"/>
      <c r="M6" s="3183"/>
      <c r="N6" s="3183"/>
    </row>
    <row r="7" spans="1:14" ht="1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B3" sqref="AB3"/>
    </sheetView>
  </sheetViews>
  <sheetFormatPr baseColWidth="10" defaultColWidth="9" defaultRowHeight="16"/>
  <cols>
    <col min="1" max="1" width="9" style="1933" customWidth="1"/>
    <col min="2" max="2" width="20.6640625" style="1934" customWidth="1"/>
    <col min="3" max="3" width="11.83203125" style="1934" customWidth="1"/>
    <col min="4" max="4" width="40.5" style="1896" customWidth="1"/>
    <col min="5" max="5" width="15.6640625" style="1896" customWidth="1"/>
    <col min="6" max="6" width="10.6640625" style="1896" customWidth="1"/>
    <col min="7" max="7" width="4.83203125" style="1896" customWidth="1"/>
    <col min="8" max="8" width="8.5" style="1896" customWidth="1"/>
    <col min="9" max="9" width="21.1640625" style="1896" customWidth="1"/>
    <col min="10" max="10" width="12.1640625" style="1896" customWidth="1"/>
    <col min="11" max="11" width="40.1640625" style="1935" customWidth="1"/>
    <col min="12" max="12" width="18.33203125" style="1896" customWidth="1"/>
    <col min="13" max="13" width="13" style="1896" customWidth="1"/>
    <col min="14" max="14" width="9.5" style="1895" bestFit="1" customWidth="1"/>
    <col min="15" max="15" width="8.33203125" style="1895" customWidth="1"/>
    <col min="16" max="16" width="30.1640625" style="1895" customWidth="1"/>
    <col min="17" max="17" width="13.6640625" style="1895" customWidth="1"/>
    <col min="18" max="18" width="22.1640625" style="1895" customWidth="1"/>
    <col min="19" max="19" width="1.5" style="1895" customWidth="1"/>
    <col min="20" max="25" width="9" style="1895"/>
    <col min="26" max="16384" width="9" style="1896"/>
  </cols>
  <sheetData>
    <row r="1" spans="1:25" s="1890" customFormat="1" ht="20">
      <c r="A1" s="744" t="s">
        <v>605</v>
      </c>
      <c r="B1" s="712"/>
      <c r="C1" s="745"/>
      <c r="D1" s="1886"/>
      <c r="E1" s="2194" t="s">
        <v>2154</v>
      </c>
      <c r="F1" s="2195">
        <f ca="1">J54</f>
        <v>-2</v>
      </c>
      <c r="G1" s="746">
        <f>MATCH(C1,'数据-取费表'!A6:A16,0)+5</f>
        <v>8</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50" t="s">
        <v>2235</v>
      </c>
      <c r="C8" s="1694">
        <f ca="1">ROUND(F8*F10*F9*(1-F11)/10000,0)</f>
        <v>0</v>
      </c>
      <c r="D8" s="1691" t="s">
        <v>2306</v>
      </c>
      <c r="E8" s="61" t="s">
        <v>614</v>
      </c>
      <c r="F8" s="757">
        <f ca="1">INDIRECT("'数据-取费表'!u"&amp;$G$1)</f>
        <v>0</v>
      </c>
      <c r="G8" s="1482"/>
      <c r="H8" s="2307" t="s">
        <v>1619</v>
      </c>
      <c r="I8" s="3750" t="s">
        <v>2235</v>
      </c>
      <c r="J8" s="755">
        <f ca="1">ROUND(M8*M10*M9*(1-M11)/10000,0)</f>
        <v>0</v>
      </c>
      <c r="K8" s="339" t="s">
        <v>2306</v>
      </c>
      <c r="L8" s="756" t="s">
        <v>1533</v>
      </c>
      <c r="M8" s="757">
        <f ca="1">INDIRECT("'数据-取费表'!z"&amp;$G$1)</f>
        <v>0</v>
      </c>
    </row>
    <row r="9" spans="1:25" ht="18" customHeight="1">
      <c r="A9" s="2303"/>
      <c r="B9" s="3751"/>
      <c r="C9" s="1695"/>
      <c r="D9" s="1692"/>
      <c r="E9" s="61" t="s">
        <v>615</v>
      </c>
      <c r="F9" s="757">
        <f ca="1">IF(INDIRECT("'数据-取费表'!ah"&amp;$G$1)="",INDIRECT("'数据-取费表'!k"&amp;$G$1),INDIRECT("'数据-取费表'!ah"&amp;$G$1))</f>
        <v>0</v>
      </c>
      <c r="G9" s="1482"/>
      <c r="H9" s="2292"/>
      <c r="I9" s="3751"/>
      <c r="J9" s="760"/>
      <c r="K9" s="761"/>
      <c r="L9" s="756" t="s">
        <v>1534</v>
      </c>
      <c r="M9" s="757">
        <f ca="1">F9</f>
        <v>0</v>
      </c>
    </row>
    <row r="10" spans="1:25" ht="18" customHeight="1">
      <c r="A10" s="2296"/>
      <c r="B10" s="3752"/>
      <c r="C10" s="1695"/>
      <c r="D10" s="1692"/>
      <c r="E10" s="61" t="s">
        <v>616</v>
      </c>
      <c r="F10" s="757">
        <f ca="1">INDIRECT("'数据-取费表'!ai"&amp;$G$1)</f>
        <v>0</v>
      </c>
      <c r="G10" s="1482"/>
      <c r="H10" s="2292"/>
      <c r="I10" s="3752"/>
      <c r="J10" s="760"/>
      <c r="K10" s="761"/>
      <c r="L10" s="756" t="s">
        <v>1535</v>
      </c>
      <c r="M10" s="757">
        <f ca="1">INDIRECT("'数据-取费表'!ai"&amp;$G$1)</f>
        <v>0</v>
      </c>
    </row>
    <row r="11" spans="1:25" ht="18" customHeight="1">
      <c r="A11" s="758"/>
      <c r="B11" s="3753"/>
      <c r="C11" s="1695"/>
      <c r="D11" s="1692"/>
      <c r="E11" s="61" t="s">
        <v>617</v>
      </c>
      <c r="F11" s="766">
        <f ca="1">INDIRECT("'数据-取费表'!w"&amp;$G$1)</f>
        <v>0</v>
      </c>
      <c r="G11" s="1482"/>
      <c r="H11" s="2308"/>
      <c r="I11" s="3752"/>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180</v>
      </c>
      <c r="G19" s="1483"/>
      <c r="H19" s="775" t="s">
        <v>1854</v>
      </c>
      <c r="I19" s="756" t="s">
        <v>633</v>
      </c>
      <c r="J19" s="2956">
        <f ca="1">ROUND(IF(AND(项目基本情况!B11="自然人",项目基本情况!B10="北京市"),J8*M19/(1+'数据-取费表'!C42),J20+J21+J22),0)</f>
        <v>0</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0.02</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0.02</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复利计息。建造成本、管理费用、销售费用产生的利息。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(建造成本+管理费用)×((1+利率)^(建设周期÷2)-1)</v>
      </c>
      <c r="E25" s="756" t="s">
        <v>655</v>
      </c>
      <c r="F25" s="614">
        <f>'数据-取费表'!B20</f>
        <v>2</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1E-3</v>
      </c>
      <c r="D26" s="2372" t="str">
        <f>IF(F25&lt;=1,"销售费用×利率×(建设周期÷2)","销售费用×((1+利率)^(建设周期÷2)-1)")</f>
        <v>销售费用×((1+利率)^(建设周期÷2)-1)</v>
      </c>
      <c r="E26" s="756" t="s">
        <v>659</v>
      </c>
      <c r="F26" s="790">
        <f ca="1">'数据-取费表'!B40</f>
        <v>4.7500000000000001E-2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0</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t="str">
        <f>IF(项目基本情况!B11="企业","——",IF('数据-取费表'!B10="住宅",IF(F8*F9*F10/12/(1+'数据-取费表'!F30)&gt;100000,4%,2.5%),IF(F8*F9*F10/12/(1+'数据-取费表'!F30)&gt;100000,12%,7%)))</f>
        <v>——</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749"/>
      <c r="J36" s="1915"/>
      <c r="K36" s="1916"/>
      <c r="L36" s="1915"/>
      <c r="M36" s="1915"/>
    </row>
    <row r="37" spans="1:18" ht="18" customHeight="1">
      <c r="A37" s="786"/>
      <c r="B37" s="765"/>
      <c r="C37" s="69"/>
      <c r="D37" s="787"/>
      <c r="E37" s="756" t="s">
        <v>651</v>
      </c>
      <c r="F37" s="757">
        <f ca="1">INDIRECT("'数据-取费表'!r"&amp;$G$1)</f>
        <v>0</v>
      </c>
      <c r="G37" s="1898"/>
      <c r="H37" s="1901"/>
      <c r="I37" s="3749"/>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35" thickBot="1">
      <c r="A54" s="1931"/>
      <c r="I54" s="2752" t="s">
        <v>2728</v>
      </c>
      <c r="J54" s="2805">
        <f ca="1">IF(M48="住宅",MAX(J52,L49-'数据-取费表'!B20),MIN(J52,L49-'数据-取费表'!B20))</f>
        <v>-2</v>
      </c>
      <c r="K54" s="3754"/>
      <c r="L54" s="3755"/>
      <c r="O54" s="2208" t="s">
        <v>2168</v>
      </c>
      <c r="P54" s="2206" t="s">
        <v>2169</v>
      </c>
      <c r="Q54" s="2207">
        <f ca="1">J54</f>
        <v>-2</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8"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52"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3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3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3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8"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19" thickBot="1">
      <c r="A62" s="1931"/>
      <c r="B62" s="1932"/>
      <c r="C62" s="1932"/>
      <c r="K62" s="1921"/>
      <c r="O62" s="2208" t="s">
        <v>2166</v>
      </c>
      <c r="P62" s="2206" t="s">
        <v>2174</v>
      </c>
      <c r="Q62" s="2207">
        <f ca="1">L59</f>
        <v>0</v>
      </c>
      <c r="R62" s="2210" t="s">
        <v>2175</v>
      </c>
    </row>
    <row r="63" spans="1:18" s="1895" customFormat="1" ht="19"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8"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7" thickBot="1">
      <c r="A65" s="1931"/>
      <c r="B65" s="1932"/>
      <c r="C65" s="1932"/>
      <c r="I65" s="2771" t="s">
        <v>2151</v>
      </c>
      <c r="J65" s="2772">
        <v>50</v>
      </c>
      <c r="K65" s="2772">
        <v>35</v>
      </c>
      <c r="L65" s="2772">
        <v>60</v>
      </c>
      <c r="M65" s="817">
        <v>0</v>
      </c>
      <c r="O65" s="2211" t="s">
        <v>2195</v>
      </c>
      <c r="P65" s="1482"/>
      <c r="Q65" s="1490"/>
      <c r="R65" s="1482"/>
    </row>
    <row r="66" spans="1:18" s="1895" customFormat="1" ht="18"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8" thickBot="1">
      <c r="A67" s="1931"/>
      <c r="B67" s="1932"/>
      <c r="C67" s="1932"/>
      <c r="K67" s="1921"/>
      <c r="O67" s="2205" t="s">
        <v>2159</v>
      </c>
      <c r="P67" s="2206" t="s">
        <v>2185</v>
      </c>
      <c r="Q67" s="2207">
        <f ca="1">C41+J31</f>
        <v>0</v>
      </c>
      <c r="R67" s="2206" t="s">
        <v>2160</v>
      </c>
    </row>
    <row r="68" spans="1:18" s="1895" customFormat="1" ht="19" thickBot="1">
      <c r="A68" s="1931"/>
      <c r="B68" s="1932"/>
      <c r="C68" s="1932"/>
      <c r="K68" s="1921"/>
      <c r="O68" s="2205" t="s">
        <v>2161</v>
      </c>
      <c r="P68" s="2206" t="s">
        <v>2192</v>
      </c>
      <c r="Q68" s="2207" t="e">
        <f ca="1">L61</f>
        <v>#DIV/0!</v>
      </c>
      <c r="R68" s="2210" t="s">
        <v>2194</v>
      </c>
    </row>
    <row r="69" spans="1:18" s="1895" customFormat="1" ht="21" thickBot="1">
      <c r="A69" s="1931"/>
      <c r="B69" s="1932"/>
      <c r="C69" s="1932"/>
      <c r="K69" s="1921"/>
      <c r="O69" s="2208" t="s">
        <v>2163</v>
      </c>
      <c r="P69" s="2206" t="s">
        <v>2193</v>
      </c>
      <c r="Q69" s="2212">
        <f ca="1">L52</f>
        <v>0</v>
      </c>
      <c r="R69" s="2213" t="s">
        <v>2196</v>
      </c>
    </row>
    <row r="70" spans="1:18" s="1895" customFormat="1" ht="19" thickBot="1">
      <c r="A70" s="1931"/>
      <c r="B70" s="1932"/>
      <c r="C70" s="1932"/>
      <c r="K70" s="1921"/>
      <c r="O70" s="2208" t="s">
        <v>2164</v>
      </c>
      <c r="P70" s="2214" t="s">
        <v>2178</v>
      </c>
      <c r="Q70" s="2207">
        <f ca="1">ROUND(Q71-Q72*Q73,0)</f>
        <v>0</v>
      </c>
      <c r="R70" s="2210"/>
    </row>
    <row r="71" spans="1:18" s="1895" customFormat="1" ht="18" thickBot="1">
      <c r="A71" s="1931"/>
      <c r="B71" s="1932"/>
      <c r="C71" s="1932"/>
      <c r="K71" s="1921"/>
      <c r="O71" s="2208" t="s">
        <v>2179</v>
      </c>
      <c r="P71" s="2214" t="s">
        <v>2180</v>
      </c>
      <c r="Q71" s="2207">
        <f ca="1">C42</f>
        <v>0</v>
      </c>
      <c r="R71" s="2206" t="s">
        <v>2160</v>
      </c>
    </row>
    <row r="72" spans="1:18" s="1895" customFormat="1" ht="18" thickBot="1">
      <c r="A72" s="1931"/>
      <c r="B72" s="1932"/>
      <c r="C72" s="1932"/>
      <c r="K72" s="1921"/>
      <c r="O72" s="2208" t="s">
        <v>2181</v>
      </c>
      <c r="P72" s="2214" t="s">
        <v>2182</v>
      </c>
      <c r="Q72" s="2207">
        <f ca="1">C15</f>
        <v>0</v>
      </c>
      <c r="R72" s="2206" t="s">
        <v>2160</v>
      </c>
    </row>
    <row r="73" spans="1:18" s="1895" customFormat="1" ht="18" thickBot="1">
      <c r="A73" s="1931"/>
      <c r="B73" s="1932"/>
      <c r="C73" s="1932"/>
      <c r="K73" s="1921"/>
      <c r="O73" s="2208" t="s">
        <v>2183</v>
      </c>
      <c r="P73" s="2214" t="s">
        <v>2184</v>
      </c>
      <c r="Q73" s="2209">
        <f ca="1">F43</f>
        <v>0</v>
      </c>
      <c r="R73" s="2210"/>
    </row>
    <row r="74" spans="1:18" s="1895" customFormat="1" ht="18" thickBot="1">
      <c r="A74" s="1931"/>
      <c r="B74" s="1932"/>
      <c r="C74" s="1932"/>
      <c r="K74" s="1921"/>
      <c r="O74" s="2208" t="s">
        <v>2166</v>
      </c>
      <c r="P74" s="2206" t="s">
        <v>2173</v>
      </c>
      <c r="Q74" s="2209">
        <f>L53</f>
        <v>0</v>
      </c>
      <c r="R74" s="2210"/>
    </row>
    <row r="75" spans="1:18" s="1895" customFormat="1" ht="19" thickBot="1">
      <c r="A75" s="1931"/>
      <c r="B75" s="1932"/>
      <c r="C75" s="1932"/>
      <c r="K75" s="1921"/>
      <c r="O75" s="2208" t="s">
        <v>2168</v>
      </c>
      <c r="P75" s="2206" t="s">
        <v>2174</v>
      </c>
      <c r="Q75" s="2207">
        <f ca="1">L59</f>
        <v>0</v>
      </c>
      <c r="R75" s="2210" t="s">
        <v>2175</v>
      </c>
    </row>
    <row r="76" spans="1:18" s="1895" customFormat="1" ht="19" thickBot="1">
      <c r="A76" s="1931"/>
      <c r="B76" s="1932"/>
      <c r="C76" s="1932"/>
      <c r="K76" s="1921"/>
      <c r="O76" s="2208" t="s">
        <v>2197</v>
      </c>
      <c r="P76" s="2206" t="s">
        <v>2176</v>
      </c>
      <c r="Q76" s="2207">
        <f ca="1">L60</f>
        <v>0</v>
      </c>
      <c r="R76" s="2210" t="s">
        <v>2177</v>
      </c>
    </row>
    <row r="77" spans="1:18" s="1895" customFormat="1" ht="18"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647" customWidth="1"/>
    <col min="2" max="2" width="9" style="1647"/>
    <col min="3" max="4" width="9.6640625" style="1647" customWidth="1"/>
    <col min="5" max="16384" width="9" style="1647"/>
  </cols>
  <sheetData>
    <row r="1" spans="1:4" ht="24">
      <c r="A1" s="1646" t="s">
        <v>1693</v>
      </c>
    </row>
    <row r="2" spans="1:4">
      <c r="A2" s="1648"/>
    </row>
    <row r="3" spans="1:4" ht="17">
      <c r="A3" s="1666" t="str">
        <f>项目基本情况!B5&amp;"："</f>
        <v>：</v>
      </c>
    </row>
    <row r="4" spans="1:4" ht="36">
      <c r="A4" s="1660" t="str">
        <f>"受贵公司委托，我公司对"&amp;项目基本情况!K2&amp;项目基本情况!B9&amp;"进行了预评估。"</f>
        <v>受贵公司委托，我公司对北京市出让国有建设用地使用权市场价格进行了预评估。</v>
      </c>
    </row>
    <row r="5" spans="1:4" ht="17">
      <c r="A5" s="1663" t="s">
        <v>1694</v>
      </c>
    </row>
    <row r="6" spans="1:4" ht="72">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54">
      <c r="A7" s="1664" t="s">
        <v>2518</v>
      </c>
    </row>
    <row r="8" spans="1:4" ht="17">
      <c r="A8" s="1663" t="s">
        <v>1695</v>
      </c>
    </row>
    <row r="9" spans="1:4" ht="36">
      <c r="A9" s="1665" t="str">
        <f>IF(项目基本情况!B8="抵押",IF(项目基本情况!B5=项目基本情况!B6,定义!C51,定义!B51),定义!D51)</f>
        <v>本次评估为委托估价方了解标的物之市场价格提供参考依据而评估出让国有建设用地使用权市场价格。</v>
      </c>
    </row>
    <row r="10" spans="1:4" ht="17">
      <c r="A10" s="1666" t="s">
        <v>1811</v>
      </c>
    </row>
    <row r="11" spans="1:4" ht="17">
      <c r="A11" s="1649" t="str">
        <f>TEXT(项目基本情况!D3,"yyyy年m月d日;;")&amp;IF(项目基本情况!B3=项目基本情况!D3,"（评估专业人员勘察现场之日）","")</f>
        <v>2022年9月22日</v>
      </c>
    </row>
    <row r="12" spans="1:4" ht="17">
      <c r="A12" s="1666" t="s">
        <v>1810</v>
      </c>
    </row>
    <row r="13" spans="1:4" ht="18">
      <c r="A13" s="1660" t="s">
        <v>2697</v>
      </c>
    </row>
    <row r="14" spans="1:4" ht="18">
      <c r="A14" s="1660" t="str">
        <f>"根据"&amp;项目基本情况!F12&amp;"，本次评估估价对象证载（地类）用途为"&amp;项目基本情况!B12&amp;"。"</f>
        <v>根据《国有土地使用证》[]，本次评估估价对象证载（地类）用途为。</v>
      </c>
      <c r="C14" s="1650"/>
      <c r="D14" s="1651"/>
    </row>
    <row r="15" spans="1:4" ht="18">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
      <c r="A16" s="1660" t="s">
        <v>1857</v>
      </c>
    </row>
    <row r="17" spans="1:1" ht="54">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660" t="s">
        <v>1858</v>
      </c>
    </row>
    <row r="20" spans="1:1" ht="54">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18">
      <c r="A21" s="1660" t="s">
        <v>1859</v>
      </c>
    </row>
    <row r="22" spans="1:1" ht="90">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9月22日、商业2062年9月21日工业2059年11月10日。截至估价期日，出让国有建设用地使用权剩余土地使用年限为。</v>
      </c>
    </row>
    <row r="23" spans="1:1" ht="18">
      <c r="A23" s="1660" t="str">
        <f>IF(项目基本情况!B16="出让","本次评估设定估价对象剩余土地使用年限为"&amp;项目基本情况!D20&amp;"。","")</f>
        <v>本次评估设定估价对象剩余土地使用年限为。</v>
      </c>
    </row>
    <row r="24" spans="1:1" ht="18">
      <c r="A24" s="1660" t="s">
        <v>1860</v>
      </c>
    </row>
    <row r="25" spans="1:1" ht="72">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18">
      <c r="A26" s="1660" t="str">
        <f>IF(项目基本情况!B9="市场价格","——",IF(项目基本情况!E8="抵押价格",定义!C54,IF(项目基本情况!E8="已注销",定义!C55,定义!C56)))</f>
        <v>——</v>
      </c>
    </row>
    <row r="27" spans="1:1" ht="18">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
      <c r="A28" s="1660" t="str">
        <f>IF(项目基本情况!B9="市场价格","——",IF(项目基本情况!E9="——","",定义!C57))</f>
        <v>——</v>
      </c>
    </row>
    <row r="29" spans="1:1" ht="17">
      <c r="A29" s="1666" t="s">
        <v>1812</v>
      </c>
    </row>
    <row r="30" spans="1:1" ht="72">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7">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28" zoomScale="80" zoomScaleNormal="60" zoomScaleSheetLayoutView="80" workbookViewId="0">
      <selection activeCell="F40" sqref="F40:F43"/>
    </sheetView>
  </sheetViews>
  <sheetFormatPr baseColWidth="10" defaultColWidth="9" defaultRowHeight="16"/>
  <cols>
    <col min="1" max="1" width="9" style="1896" customWidth="1"/>
    <col min="2" max="2" width="20.6640625" style="1934" customWidth="1"/>
    <col min="3" max="3" width="11.83203125" style="1934" customWidth="1"/>
    <col min="4" max="4" width="40.5" style="1896" customWidth="1"/>
    <col min="5" max="5" width="15.6640625" style="1896" customWidth="1"/>
    <col min="6" max="6" width="10.6640625" style="1896" customWidth="1"/>
    <col min="7" max="7" width="4.83203125" style="1896" customWidth="1"/>
    <col min="8" max="8" width="8.5" style="1896" customWidth="1"/>
    <col min="9" max="9" width="21.1640625" style="1896" customWidth="1"/>
    <col min="10" max="10" width="12.1640625" style="1896" customWidth="1"/>
    <col min="11" max="11" width="40.1640625" style="1935" customWidth="1"/>
    <col min="12" max="12" width="18.33203125" style="1896" customWidth="1"/>
    <col min="13" max="13" width="13" style="1896" customWidth="1"/>
    <col min="14" max="14" width="9.5" style="1895" bestFit="1" customWidth="1"/>
    <col min="15" max="15" width="5.83203125" style="1895" customWidth="1"/>
    <col min="16" max="16" width="27.6640625" style="1895" customWidth="1"/>
    <col min="17" max="17" width="13.6640625" style="1932" customWidth="1"/>
    <col min="18" max="18" width="23.5" style="1895" customWidth="1"/>
    <col min="19" max="19" width="1.5" style="1895" customWidth="1"/>
    <col min="20" max="33" width="9" style="1895"/>
    <col min="34" max="16384" width="9" style="1896"/>
  </cols>
  <sheetData>
    <row r="1" spans="1:33" s="1890" customFormat="1" ht="20">
      <c r="A1" s="803" t="s">
        <v>1520</v>
      </c>
      <c r="B1" s="712"/>
      <c r="C1" s="745" t="s">
        <v>897</v>
      </c>
      <c r="D1" s="2745" t="s">
        <v>926</v>
      </c>
      <c r="E1" s="2194" t="s">
        <v>2154</v>
      </c>
      <c r="F1" s="2195">
        <f ca="1">J53</f>
        <v>70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167804</v>
      </c>
      <c r="C2" s="3200"/>
      <c r="D2" s="3201"/>
      <c r="E2" s="3202"/>
      <c r="F2" s="3202"/>
      <c r="G2" s="3196"/>
      <c r="H2" s="1893"/>
      <c r="I2" s="1893"/>
      <c r="J2" s="1893"/>
      <c r="K2" s="1894"/>
      <c r="L2" s="1893"/>
      <c r="M2" s="1893"/>
    </row>
    <row r="3" spans="1:33" ht="18" customHeight="1" thickBot="1">
      <c r="A3" s="804" t="s">
        <v>1522</v>
      </c>
      <c r="B3" s="805">
        <f ca="1">IF(ISERROR(B2*10000/F43),0,ROUND(B2*10000/F43,0))</f>
        <v>22388</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8105</v>
      </c>
      <c r="D5" s="2299" t="s">
        <v>2233</v>
      </c>
      <c r="E5" s="2293"/>
      <c r="F5" s="2294"/>
      <c r="G5" s="1898"/>
      <c r="H5" s="753">
        <v>1</v>
      </c>
      <c r="I5" s="754" t="s">
        <v>2230</v>
      </c>
      <c r="J5" s="55">
        <f ca="1">J6+J10+J12</f>
        <v>0</v>
      </c>
      <c r="K5" s="2299" t="s">
        <v>2233</v>
      </c>
      <c r="L5" s="2293"/>
      <c r="M5" s="2294"/>
    </row>
    <row r="6" spans="1:33" ht="18" customHeight="1">
      <c r="A6" s="1699" t="s">
        <v>1619</v>
      </c>
      <c r="B6" s="3750" t="s">
        <v>2235</v>
      </c>
      <c r="C6" s="755">
        <f ca="1">ROUND(F6*F8*F7*(1-F9)/10000,0)</f>
        <v>8095</v>
      </c>
      <c r="D6" s="2300" t="s">
        <v>2234</v>
      </c>
      <c r="E6" s="756" t="s">
        <v>1533</v>
      </c>
      <c r="F6" s="757">
        <f ca="1">INDIRECT("'数据-取费表'!u"&amp;$G$1)</f>
        <v>100</v>
      </c>
      <c r="G6" s="1898"/>
      <c r="H6" s="2307" t="s">
        <v>2240</v>
      </c>
      <c r="I6" s="3750" t="s">
        <v>2235</v>
      </c>
      <c r="J6" s="755">
        <f ca="1">ROUND(M6*M8*M7*(1-M9)/10000,0)</f>
        <v>0</v>
      </c>
      <c r="K6" s="339" t="s">
        <v>1532</v>
      </c>
      <c r="L6" s="756" t="s">
        <v>1533</v>
      </c>
      <c r="M6" s="757">
        <f ca="1">INDIRECT("'数据-取费表'!z"&amp;$G$1)</f>
        <v>0</v>
      </c>
    </row>
    <row r="7" spans="1:33" ht="18" customHeight="1">
      <c r="A7" s="2303"/>
      <c r="B7" s="3751"/>
      <c r="C7" s="760"/>
      <c r="D7" s="761"/>
      <c r="E7" s="756" t="s">
        <v>1534</v>
      </c>
      <c r="F7" s="757">
        <f ca="1">IF(INDIRECT("'数据-取费表'!ah"&amp;$G$1)="",INDIRECT("'数据-取费表'!k"&amp;$G$1),INDIRECT("'数据-取费表'!ah"&amp;$G$1))</f>
        <v>74951.23</v>
      </c>
      <c r="G7" s="1898"/>
      <c r="H7" s="2292"/>
      <c r="I7" s="3751"/>
      <c r="J7" s="760"/>
      <c r="K7" s="761"/>
      <c r="L7" s="756" t="s">
        <v>1534</v>
      </c>
      <c r="M7" s="757">
        <f ca="1">F7</f>
        <v>74951.23</v>
      </c>
    </row>
    <row r="8" spans="1:33" ht="18" customHeight="1">
      <c r="A8" s="2296"/>
      <c r="B8" s="3752"/>
      <c r="C8" s="760"/>
      <c r="D8" s="761"/>
      <c r="E8" s="756" t="s">
        <v>1535</v>
      </c>
      <c r="F8" s="757">
        <f ca="1">INDIRECT("'数据-取费表'!ai"&amp;$G$1)</f>
        <v>12</v>
      </c>
      <c r="G8" s="1898"/>
      <c r="H8" s="2292"/>
      <c r="I8" s="3752"/>
      <c r="J8" s="760"/>
      <c r="K8" s="761"/>
      <c r="L8" s="756" t="s">
        <v>1535</v>
      </c>
      <c r="M8" s="757">
        <f ca="1">INDIRECT("'数据-取费表'!ai"&amp;$G$1)</f>
        <v>12</v>
      </c>
    </row>
    <row r="9" spans="1:33" ht="18" customHeight="1">
      <c r="A9" s="758"/>
      <c r="B9" s="3753"/>
      <c r="C9" s="760"/>
      <c r="D9" s="761"/>
      <c r="E9" s="756" t="s">
        <v>1536</v>
      </c>
      <c r="F9" s="766">
        <f ca="1">INDIRECT("'数据-取费表'!w"&amp;$G$1)</f>
        <v>0.1</v>
      </c>
      <c r="G9" s="1898"/>
      <c r="H9" s="2308"/>
      <c r="I9" s="3752"/>
      <c r="J9" s="760"/>
      <c r="K9" s="761"/>
      <c r="L9" s="767" t="s">
        <v>1536</v>
      </c>
      <c r="M9" s="768">
        <f ca="1">INDIRECT("'数据-取费表'!ab"&amp;$G$1)</f>
        <v>0</v>
      </c>
    </row>
    <row r="10" spans="1:33" ht="18" customHeight="1">
      <c r="A10" s="1699" t="s">
        <v>2238</v>
      </c>
      <c r="B10" s="2297" t="s">
        <v>2231</v>
      </c>
      <c r="C10" s="771">
        <f ca="1">ROUND(IF(F10="押一",C6/12*F11,IF(F10="押二",C6/12*2*F11,IF(F10="押三",C6/12*3*F11,C11*F11))),0)</f>
        <v>10</v>
      </c>
      <c r="D10" s="2304" t="s">
        <v>2724</v>
      </c>
      <c r="E10" s="2301" t="s">
        <v>2236</v>
      </c>
      <c r="F10" s="2414" t="s">
        <v>3261</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52856</v>
      </c>
      <c r="D13" s="1703" t="s">
        <v>2080</v>
      </c>
      <c r="E13" s="1703" t="s">
        <v>1539</v>
      </c>
      <c r="F13" s="2339">
        <f ca="1">INDIRECT("'数据-取费表'!y"&amp;$G$1)</f>
        <v>1</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33728</v>
      </c>
      <c r="D14" s="1846" t="s">
        <v>1540</v>
      </c>
      <c r="E14" s="1847"/>
      <c r="F14" s="777"/>
      <c r="G14" s="1898"/>
      <c r="H14" s="1532" t="s">
        <v>1625</v>
      </c>
      <c r="I14" s="2063" t="s">
        <v>2596</v>
      </c>
      <c r="J14" s="53">
        <f ca="1">C29</f>
        <v>52856</v>
      </c>
      <c r="K14" s="26"/>
      <c r="L14" s="773"/>
      <c r="M14" s="774"/>
    </row>
    <row r="15" spans="1:33" s="1900" customFormat="1" ht="18" customHeight="1" thickBot="1">
      <c r="A15" s="1531" t="s">
        <v>1674</v>
      </c>
      <c r="B15" s="756" t="s">
        <v>624</v>
      </c>
      <c r="C15" s="53">
        <f ca="1">ROUND(C14*F15,0)</f>
        <v>1012</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3373</v>
      </c>
      <c r="D16" s="756" t="s">
        <v>1541</v>
      </c>
      <c r="E16" s="756" t="s">
        <v>1542</v>
      </c>
      <c r="F16" s="781">
        <f ca="1">IF(INDIRECT("'数据-取费表'!c"&amp;$G$1)="住宅",'数据-取费表'!B34,0)</f>
        <v>0.1</v>
      </c>
      <c r="G16" s="1898"/>
      <c r="H16" s="1698" t="s">
        <v>1543</v>
      </c>
      <c r="I16" s="1696" t="s">
        <v>1544</v>
      </c>
      <c r="J16" s="764">
        <f ca="1">ROUND(J17+J22+J23+J24,0)</f>
        <v>5240</v>
      </c>
      <c r="K16" s="1690" t="s">
        <v>1545</v>
      </c>
      <c r="L16" s="2289"/>
      <c r="M16" s="2294"/>
    </row>
    <row r="17" spans="1:33" s="1900" customFormat="1" ht="18" customHeight="1">
      <c r="A17" s="1531" t="s">
        <v>1676</v>
      </c>
      <c r="B17" s="756" t="s">
        <v>630</v>
      </c>
      <c r="C17" s="53">
        <f ca="1">ROUND(F17*(F43+INDIRECT("'数据-取费表'!S"&amp;$G$1))/10000,0)</f>
        <v>1349</v>
      </c>
      <c r="D17" s="756" t="s">
        <v>1546</v>
      </c>
      <c r="E17" s="756" t="s">
        <v>1547</v>
      </c>
      <c r="F17" s="56">
        <f>'数据-取费表'!B35</f>
        <v>180</v>
      </c>
      <c r="G17" s="3197"/>
      <c r="H17" s="1532" t="s">
        <v>1625</v>
      </c>
      <c r="I17" s="756" t="s">
        <v>633</v>
      </c>
      <c r="J17" s="2956">
        <f ca="1">ROUND(IF(AND(项目基本情况!B11="自然人",项目基本情况!B10="北京市"),J6*M17/(1+'数据-取费表'!C42),J18+J19+J20),0)</f>
        <v>4447</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506</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39968</v>
      </c>
      <c r="D19" s="259" t="s">
        <v>1552</v>
      </c>
      <c r="E19" s="1849"/>
      <c r="F19" s="56"/>
      <c r="G19" s="1898"/>
      <c r="H19" s="1531" t="s">
        <v>1674</v>
      </c>
      <c r="I19" s="756" t="s">
        <v>1553</v>
      </c>
      <c r="J19" s="53">
        <f ca="1">IF(K19="按租金收入计税",ROUND(J6*M19/(1+'数据-取费表'!C42),1),ROUND(C29*F33*0.7,1))</f>
        <v>4439.8999999999996</v>
      </c>
      <c r="K19" s="782" t="s">
        <v>642</v>
      </c>
      <c r="L19" s="756" t="s">
        <v>1542</v>
      </c>
      <c r="M19" s="781">
        <f>IF(K19="按租金收入计税",'数据-取费表'!B51,'数据-取费表'!B50)</f>
        <v>1.2E-2</v>
      </c>
    </row>
    <row r="20" spans="1:33" s="1900" customFormat="1" ht="18" customHeight="1">
      <c r="A20" s="1532" t="s">
        <v>1678</v>
      </c>
      <c r="B20" s="756" t="s">
        <v>643</v>
      </c>
      <c r="C20" s="53">
        <f ca="1">ROUND(C19*F20,0)</f>
        <v>799</v>
      </c>
      <c r="D20" s="783" t="s">
        <v>1554</v>
      </c>
      <c r="E20" s="756" t="s">
        <v>1542</v>
      </c>
      <c r="F20" s="781">
        <f>'数据-取费表'!B37</f>
        <v>0.02</v>
      </c>
      <c r="G20" s="3197"/>
      <c r="H20" s="1534" t="s">
        <v>1669</v>
      </c>
      <c r="I20" s="339" t="s">
        <v>1555</v>
      </c>
      <c r="J20" s="54">
        <f ca="1">ROUND(M20*M21/10000,0)</f>
        <v>7</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0.02</v>
      </c>
      <c r="G21" s="3197"/>
      <c r="H21" s="2309"/>
      <c r="I21" s="765"/>
      <c r="J21" s="69"/>
      <c r="K21" s="787"/>
      <c r="L21" s="756" t="s">
        <v>1561</v>
      </c>
      <c r="M21" s="757">
        <f ca="1">INDIRECT("'数据-取费表'!r"&amp;$G$1)</f>
        <v>47337.5</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复利计息。建造成本、管理费用、销售费用产生的利息。</v>
      </c>
      <c r="E22" s="1849"/>
      <c r="F22" s="56"/>
      <c r="G22" s="1898"/>
      <c r="H22" s="1532" t="s">
        <v>1678</v>
      </c>
      <c r="I22" s="756" t="s">
        <v>1563</v>
      </c>
      <c r="J22" s="53">
        <f ca="1">ROUND(J14*M22,0)</f>
        <v>793</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1936</v>
      </c>
      <c r="D23" s="2372" t="str">
        <f>IF(F23&lt;=1,"(建造成本+管理费用)×利率×(建设周期÷2)","(建造成本+管理费用)×((1+利率)^(建设周期÷2)-1)")</f>
        <v>(建造成本+管理费用)×((1+利率)^(建设周期÷2)-1)</v>
      </c>
      <c r="E23" s="756" t="s">
        <v>1565</v>
      </c>
      <c r="F23" s="614">
        <f>'数据-取费表'!B20</f>
        <v>2</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1E-3</v>
      </c>
      <c r="D24" s="2372" t="str">
        <f>IF(F23&lt;=1,"销售费用×利率×(建设周期÷2)","销售费用×((1+利率)^(建设周期÷2)-1)")</f>
        <v>销售费用×((1+利率)^(建设周期÷2)-1)</v>
      </c>
      <c r="E24" s="756" t="s">
        <v>1568</v>
      </c>
      <c r="F24" s="790">
        <f ca="1">'数据-取费表'!B40</f>
        <v>4.7500000000000001E-2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-5240</v>
      </c>
      <c r="K25" s="2351" t="s">
        <v>1572</v>
      </c>
      <c r="L25" s="2352"/>
      <c r="M25" s="2353"/>
    </row>
    <row r="26" spans="1:33" ht="18" customHeight="1">
      <c r="A26" s="1531" t="s">
        <v>1626</v>
      </c>
      <c r="B26" s="756" t="s">
        <v>2212</v>
      </c>
      <c r="C26" s="53">
        <f ca="1">ROUND((C19+C20)*F26,0)</f>
        <v>6115</v>
      </c>
      <c r="D26" s="783" t="s">
        <v>1573</v>
      </c>
      <c r="E26" s="767" t="s">
        <v>1574</v>
      </c>
      <c r="F26" s="766">
        <f ca="1">INDIRECT("'数据-取费表'!q"&amp;$G$1)</f>
        <v>0.15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3.0000000000000001E-3</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52856</v>
      </c>
      <c r="D29" s="2348"/>
      <c r="E29" s="2349"/>
      <c r="F29" s="2350"/>
      <c r="G29" s="3197"/>
      <c r="H29" s="794" t="s">
        <v>1582</v>
      </c>
      <c r="I29" s="795" t="s">
        <v>1583</v>
      </c>
      <c r="J29" s="796">
        <f ca="1">ROUND(J26/(1+F40)^F41,0)</f>
        <v>0</v>
      </c>
      <c r="K29" s="797" t="s">
        <v>1584</v>
      </c>
      <c r="L29" s="798"/>
      <c r="M29" s="799">
        <f ca="1">INDIRECT("'数据-取费表'!k"&amp;$G$1)</f>
        <v>74951.23</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2309</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1356</v>
      </c>
      <c r="D31" s="1846" t="s">
        <v>1587</v>
      </c>
      <c r="E31" s="1844" t="s">
        <v>1588</v>
      </c>
      <c r="F31" s="2955" t="str">
        <f>IF(项目基本情况!B11="企业","——",IF('数据-取费表'!B10="住宅",IF(F6*F7*F8/12/(1+'数据-取费表'!F30)&gt;100000,4%,2.5%),IF(F6*F7*F8/12/(1+'数据-取费表'!F30)&gt;100000,12%,7%)))</f>
        <v>——</v>
      </c>
      <c r="G31" s="1898"/>
      <c r="H31" s="3194" t="s">
        <v>2778</v>
      </c>
      <c r="I31" s="1902"/>
      <c r="J31" s="1903"/>
      <c r="K31" s="1904"/>
      <c r="L31" s="1905"/>
      <c r="M31" s="1906"/>
    </row>
    <row r="32" spans="1:33" ht="18" customHeight="1">
      <c r="A32" s="1531" t="s">
        <v>1626</v>
      </c>
      <c r="B32" s="756" t="s">
        <v>1589</v>
      </c>
      <c r="C32" s="53">
        <f ca="1">ROUND(C6*F32/(1+'数据-取费表'!C42),1)</f>
        <v>424</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925.1</v>
      </c>
      <c r="D33" s="782" t="s">
        <v>3266</v>
      </c>
      <c r="E33" s="756" t="s">
        <v>1591</v>
      </c>
      <c r="F33" s="781">
        <f>IF(D33="按租金收入计税",'数据-取费表'!B51,'数据-取费表'!B50)</f>
        <v>0.12</v>
      </c>
      <c r="G33" s="1898"/>
      <c r="H33" s="1913"/>
      <c r="I33" s="1913"/>
      <c r="J33" s="1913"/>
      <c r="K33" s="1914"/>
      <c r="L33" s="1913"/>
      <c r="M33" s="1913"/>
    </row>
    <row r="34" spans="1:18" ht="18" customHeight="1">
      <c r="A34" s="1534" t="s">
        <v>1628</v>
      </c>
      <c r="B34" s="339" t="s">
        <v>1593</v>
      </c>
      <c r="C34" s="54">
        <f ca="1">ROUND(F34*F35/10000,1)</f>
        <v>7.1</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47337.5</v>
      </c>
      <c r="G35" s="1898"/>
      <c r="H35" s="1901"/>
      <c r="I35" s="808" t="s">
        <v>1609</v>
      </c>
      <c r="J35" s="809">
        <f ca="1">ROUND(C13*J36,0)</f>
        <v>3700</v>
      </c>
      <c r="K35" s="1914"/>
      <c r="L35" s="1913"/>
      <c r="M35" s="1913"/>
    </row>
    <row r="36" spans="1:18" ht="18" customHeight="1">
      <c r="A36" s="1532" t="s">
        <v>1678</v>
      </c>
      <c r="B36" s="756" t="s">
        <v>1597</v>
      </c>
      <c r="C36" s="53">
        <f ca="1">ROUND(C29*F36,1)</f>
        <v>792.8</v>
      </c>
      <c r="D36" s="1844" t="s">
        <v>1598</v>
      </c>
      <c r="E36" s="756" t="s">
        <v>1591</v>
      </c>
      <c r="F36" s="788">
        <f ca="1">INDIRECT("'数据-取费表'!Ak"&amp;$G$1)</f>
        <v>1.4999999999999999E-2</v>
      </c>
      <c r="G36" s="1898"/>
      <c r="H36" s="1913"/>
      <c r="I36" s="810" t="s">
        <v>1610</v>
      </c>
      <c r="J36" s="811">
        <f ca="1">INDIRECT("'数据-取费表'!j"&amp;$G$1)</f>
        <v>7.0000000000000007E-2</v>
      </c>
      <c r="K36" s="1917"/>
      <c r="L36" s="1913"/>
      <c r="M36" s="1913"/>
    </row>
    <row r="37" spans="1:18" ht="18" customHeight="1">
      <c r="A37" s="1532" t="s">
        <v>1679</v>
      </c>
      <c r="B37" s="756" t="s">
        <v>656</v>
      </c>
      <c r="C37" s="53">
        <f ca="1">ROUND(C13*F37,1)</f>
        <v>79.3</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81.099999999999994</v>
      </c>
      <c r="D38" s="2348" t="s">
        <v>1600</v>
      </c>
      <c r="E38" s="2349" t="s">
        <v>1591</v>
      </c>
      <c r="F38" s="2345">
        <f ca="1">INDIRECT("'数据-取费表'!Am"&amp;$G$1)</f>
        <v>0.01</v>
      </c>
      <c r="G38" s="1898"/>
      <c r="H38" s="1913"/>
      <c r="I38" s="814" t="s">
        <v>1612</v>
      </c>
      <c r="J38" s="815"/>
      <c r="K38" s="1918"/>
      <c r="L38" s="1913"/>
      <c r="M38" s="1913"/>
    </row>
    <row r="39" spans="1:18" ht="24.5" customHeight="1" thickTop="1">
      <c r="A39" s="1698" t="s">
        <v>1683</v>
      </c>
      <c r="B39" s="2672" t="s">
        <v>2592</v>
      </c>
      <c r="C39" s="764">
        <f ca="1">C5-C30</f>
        <v>5796</v>
      </c>
      <c r="D39" s="2351" t="s">
        <v>1601</v>
      </c>
      <c r="E39" s="2352"/>
      <c r="F39" s="2353"/>
      <c r="G39" s="1898"/>
      <c r="H39" s="1913"/>
      <c r="I39" s="808" t="s">
        <v>1613</v>
      </c>
      <c r="J39" s="816">
        <f ca="1">ROUND(J35/C39,3)</f>
        <v>0.63800000000000001</v>
      </c>
      <c r="K39" s="1918"/>
      <c r="L39" s="1913"/>
      <c r="M39" s="1913"/>
    </row>
    <row r="40" spans="1:18" ht="18" customHeight="1">
      <c r="A40" s="753" t="s">
        <v>1684</v>
      </c>
      <c r="B40" s="2064" t="s">
        <v>2084</v>
      </c>
      <c r="C40" s="755">
        <f ca="1">ROUND(C39*(1-((1+F42)/(1+F40))^F41)/(F40-F42),0)</f>
        <v>167804</v>
      </c>
      <c r="D40" s="785" t="s">
        <v>1602</v>
      </c>
      <c r="E40" s="756" t="s">
        <v>2199</v>
      </c>
      <c r="F40" s="766">
        <f ca="1">INDIRECT("'数据-取费表'!I"&amp;$G$1)</f>
        <v>0.05</v>
      </c>
      <c r="G40" s="1898"/>
      <c r="H40" s="1898"/>
      <c r="I40" s="808" t="s">
        <v>1614</v>
      </c>
      <c r="J40" s="816">
        <f ca="1">1-J39</f>
        <v>0.36199999999999999</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70</v>
      </c>
      <c r="G41" s="1898"/>
      <c r="H41" s="1853"/>
      <c r="I41" s="814" t="s">
        <v>1615</v>
      </c>
      <c r="J41" s="817"/>
      <c r="K41" s="1917"/>
      <c r="L41" s="1853"/>
      <c r="M41" s="1853"/>
    </row>
    <row r="42" spans="1:18" ht="18" customHeight="1">
      <c r="A42" s="762"/>
      <c r="B42" s="763"/>
      <c r="C42" s="764"/>
      <c r="D42" s="787"/>
      <c r="E42" s="756" t="s">
        <v>1604</v>
      </c>
      <c r="F42" s="766">
        <f ca="1">INDIRECT("'数据-取费表'!v"&amp;$G$1)</f>
        <v>0.02</v>
      </c>
      <c r="G42" s="1898"/>
      <c r="H42" s="1853"/>
      <c r="I42" s="818" t="s">
        <v>1616</v>
      </c>
      <c r="J42" s="816">
        <f ca="1">ROUND(C13/C40,3)</f>
        <v>0.315</v>
      </c>
      <c r="K42" s="1917"/>
      <c r="L42" s="1853"/>
      <c r="M42" s="1853"/>
    </row>
    <row r="43" spans="1:18" ht="18" customHeight="1" thickBot="1">
      <c r="A43" s="794" t="s">
        <v>1582</v>
      </c>
      <c r="B43" s="795" t="s">
        <v>1605</v>
      </c>
      <c r="C43" s="796">
        <f ca="1">ROUND(C40*10000/F43,0)</f>
        <v>22388</v>
      </c>
      <c r="D43" s="797" t="s">
        <v>1606</v>
      </c>
      <c r="E43" s="798" t="s">
        <v>1607</v>
      </c>
      <c r="F43" s="799">
        <f ca="1">INDIRECT("'数据-取费表'!k"&amp;$G$1)</f>
        <v>74951.23</v>
      </c>
      <c r="G43" s="1898"/>
      <c r="H43" s="1853"/>
      <c r="I43" s="818" t="s">
        <v>1617</v>
      </c>
      <c r="J43" s="819">
        <f ca="1">1-J42</f>
        <v>0.68500000000000005</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-184806</v>
      </c>
      <c r="D46" s="3198"/>
      <c r="E46" s="3198"/>
      <c r="F46" s="3198"/>
      <c r="I46" s="2185" t="s">
        <v>2123</v>
      </c>
      <c r="J46" s="2186"/>
      <c r="K46" s="2187"/>
      <c r="L46" s="2758">
        <f>IF(OR(M47="住宅",D1="土地（套用方法）"),0,IF(L48&gt;J51,L60,J60))</f>
        <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70</v>
      </c>
      <c r="M47" s="1490" t="str">
        <f>IF(ISNUMBER(FIND("住宅",C1)),"住宅","非住宅")</f>
        <v>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70</v>
      </c>
      <c r="M48" s="3199"/>
      <c r="O48" s="2205" t="s">
        <v>2159</v>
      </c>
      <c r="P48" s="2206" t="s">
        <v>2185</v>
      </c>
      <c r="Q48" s="2207">
        <f ca="1">C40+J29</f>
        <v>167804</v>
      </c>
      <c r="R48" s="2206" t="s">
        <v>2160</v>
      </c>
    </row>
    <row r="49" spans="1:18" s="1895" customFormat="1" ht="18" customHeight="1" thickBot="1">
      <c r="A49" s="758"/>
      <c r="B49" s="759"/>
      <c r="C49" s="760"/>
      <c r="D49" s="761"/>
      <c r="E49" s="756" t="s">
        <v>1534</v>
      </c>
      <c r="F49" s="757">
        <f ca="1">F7</f>
        <v>74951.23</v>
      </c>
      <c r="G49" s="1925"/>
      <c r="H49" s="1928"/>
      <c r="I49" s="2746" t="s">
        <v>2126</v>
      </c>
      <c r="J49" s="2190"/>
      <c r="K49" s="2757" t="s">
        <v>2132</v>
      </c>
      <c r="L49" s="2191"/>
      <c r="M49" s="3199"/>
      <c r="O49" s="2205" t="s">
        <v>2161</v>
      </c>
      <c r="P49" s="2206" t="s">
        <v>2186</v>
      </c>
      <c r="Q49" s="2207" t="str">
        <f ca="1">J60</f>
        <v>0</v>
      </c>
      <c r="R49" s="2206" t="s">
        <v>2162</v>
      </c>
    </row>
    <row r="50" spans="1:18" s="1895" customFormat="1" ht="18" customHeight="1" thickBot="1">
      <c r="A50" s="758"/>
      <c r="B50" s="759"/>
      <c r="C50" s="760"/>
      <c r="D50" s="761"/>
      <c r="E50" s="756" t="s">
        <v>1535</v>
      </c>
      <c r="F50" s="757">
        <f ca="1">F8</f>
        <v>12</v>
      </c>
      <c r="G50" s="1930"/>
      <c r="H50" s="1928"/>
      <c r="I50" s="2746" t="s">
        <v>2127</v>
      </c>
      <c r="J50" s="2753">
        <f>SUMPRODUCT((I63:I65=J47)*(J62:L62=J48)*(J63:L65))</f>
        <v>0</v>
      </c>
      <c r="K50" s="2757" t="s">
        <v>2133</v>
      </c>
      <c r="L50" s="2191"/>
      <c r="M50" s="3199"/>
      <c r="O50" s="2208" t="s">
        <v>2163</v>
      </c>
      <c r="P50" s="2206" t="s">
        <v>2187</v>
      </c>
      <c r="Q50" s="2207">
        <f ca="1">C29</f>
        <v>52856</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f ca="1">ROUND(-PV(INDIRECT("'数据-取费表'!h"&amp;$G$1),J51,(C39-C13*J36),0),0)</f>
        <v>0</v>
      </c>
      <c r="M51" s="3199"/>
      <c r="O51" s="2208" t="s">
        <v>2164</v>
      </c>
      <c r="P51" s="2206" t="s">
        <v>2165</v>
      </c>
      <c r="Q51" s="2209" t="e">
        <f ca="1">J58</f>
        <v>#VALUE!</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70</v>
      </c>
      <c r="K53" s="3756" t="s">
        <v>2719</v>
      </c>
      <c r="L53" s="3757"/>
      <c r="M53" s="3199"/>
      <c r="O53" s="2208" t="s">
        <v>2168</v>
      </c>
      <c r="P53" s="2206" t="s">
        <v>2169</v>
      </c>
      <c r="Q53" s="2207">
        <f ca="1">J53</f>
        <v>70</v>
      </c>
      <c r="R53" s="2206" t="s">
        <v>2170</v>
      </c>
    </row>
    <row r="54" spans="1:18" s="1895" customFormat="1" ht="18" customHeight="1" thickBot="1">
      <c r="A54" s="2340" t="s">
        <v>2239</v>
      </c>
      <c r="B54" s="2341" t="s">
        <v>2232</v>
      </c>
      <c r="C54" s="2342"/>
      <c r="D54" s="2304"/>
      <c r="E54" s="2301"/>
      <c r="F54" s="772"/>
      <c r="I54" s="18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21"/>
      <c r="M54" s="3199"/>
      <c r="O54" s="2205" t="s">
        <v>2171</v>
      </c>
      <c r="P54" s="2206" t="s">
        <v>2188</v>
      </c>
      <c r="Q54" s="2207">
        <f ca="1">Q48+Q49</f>
        <v>167804</v>
      </c>
      <c r="R54" s="2210" t="s">
        <v>2172</v>
      </c>
    </row>
    <row r="55" spans="1:18" s="1895" customFormat="1" ht="18" customHeight="1" thickTop="1" thickBot="1">
      <c r="A55" s="769">
        <v>2</v>
      </c>
      <c r="B55" s="770" t="s">
        <v>621</v>
      </c>
      <c r="C55" s="771">
        <f ca="1">C13</f>
        <v>52856</v>
      </c>
      <c r="D55" s="767"/>
      <c r="E55" s="767"/>
      <c r="F55" s="772"/>
      <c r="I55" s="2763" t="s">
        <v>2135</v>
      </c>
      <c r="J55" s="2735" t="e">
        <f ca="1">ROUND(IF(J47="钢混",J57/J50,1-(1-2%)*(J50-J57)/J50),3)</f>
        <v>#VALUE!</v>
      </c>
      <c r="K55" s="2764" t="s">
        <v>2136</v>
      </c>
      <c r="L55" s="2193"/>
      <c r="M55" s="3199"/>
      <c r="O55" s="2211" t="s">
        <v>2191</v>
      </c>
      <c r="P55" s="1482"/>
      <c r="Q55" s="1490"/>
      <c r="R55" s="1482"/>
    </row>
    <row r="56" spans="1:18" s="1895" customFormat="1" ht="42.75" customHeight="1" thickBot="1">
      <c r="A56" s="1533"/>
      <c r="B56" s="2063" t="s">
        <v>2085</v>
      </c>
      <c r="C56" s="53">
        <f ca="1">C29</f>
        <v>52856</v>
      </c>
      <c r="D56" s="2430"/>
      <c r="E56" s="756"/>
      <c r="F56" s="781"/>
      <c r="I56" s="2765" t="s">
        <v>2137</v>
      </c>
      <c r="J56" s="2775"/>
      <c r="K56" s="2746" t="s">
        <v>2142</v>
      </c>
      <c r="L56" s="1776">
        <f ca="1">IF(L48&lt;J51,"——",L48-J51)</f>
        <v>70</v>
      </c>
      <c r="M56" s="3199"/>
      <c r="O56" s="2202" t="s">
        <v>2155</v>
      </c>
      <c r="P56" s="2203" t="s">
        <v>2156</v>
      </c>
      <c r="Q56" s="2204" t="s">
        <v>2157</v>
      </c>
      <c r="R56" s="2203" t="s">
        <v>2158</v>
      </c>
    </row>
    <row r="57" spans="1:18" s="1895" customFormat="1" ht="28.5" customHeight="1" thickBot="1">
      <c r="A57" s="769" t="s">
        <v>1543</v>
      </c>
      <c r="B57" s="770" t="s">
        <v>628</v>
      </c>
      <c r="C57" s="771">
        <f ca="1">ROUND(C58+C63+C64+C65,0)</f>
        <v>879</v>
      </c>
      <c r="D57" s="26" t="s">
        <v>1545</v>
      </c>
      <c r="E57" s="2431"/>
      <c r="F57" s="56"/>
      <c r="I57" s="2766" t="s">
        <v>2138</v>
      </c>
      <c r="J57" s="2767" t="str">
        <f ca="1">IF(OR(M47="住宅",J51&lt;L48,J56="是"),"——",J51-L48)</f>
        <v>——</v>
      </c>
      <c r="K57" s="2746" t="s">
        <v>2143</v>
      </c>
      <c r="L57" s="1776">
        <f ca="1">IF(L48&lt;J51,"——",IF(L55="比较法",L49,IF(L55="基准地价",L50,L51)))</f>
        <v>0</v>
      </c>
      <c r="M57" s="3199"/>
      <c r="O57" s="2205" t="s">
        <v>2159</v>
      </c>
      <c r="P57" s="2206" t="s">
        <v>2189</v>
      </c>
      <c r="Q57" s="2207">
        <f ca="1">C40+J29</f>
        <v>167804</v>
      </c>
      <c r="R57" s="2206" t="s">
        <v>2160</v>
      </c>
    </row>
    <row r="58" spans="1:18" s="1895" customFormat="1" ht="28.5" customHeight="1" thickBot="1">
      <c r="A58" s="1532" t="s">
        <v>1619</v>
      </c>
      <c r="B58" s="756" t="s">
        <v>633</v>
      </c>
      <c r="C58" s="2956">
        <f ca="1">ROUND(IF(AND(项目基本情况!B11="自然人",项目基本情况!B10="北京市"),C48*F58/(1+'数据-取费表'!C42),C59+C60+C61),0)</f>
        <v>7</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#VALUE!</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str">
        <f ca="1">IF(OR(M47="住宅",J51&lt;L48,J56="是"),"——",ROUND(C29*J58,0))</f>
        <v>——</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按租金收入计税</v>
      </c>
      <c r="E60" s="756" t="s">
        <v>1542</v>
      </c>
      <c r="F60" s="781">
        <f t="shared" si="0"/>
        <v>0.12</v>
      </c>
      <c r="I60" s="2768" t="s">
        <v>2141</v>
      </c>
      <c r="J60" s="2769" t="str">
        <f ca="1">IF(OR(M47="住宅",J51&lt;L48,J56="是"),"0",ROUND(J59/(1+J52)^J53,0))</f>
        <v>0</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7.1</v>
      </c>
      <c r="D61" s="785" t="s">
        <v>646</v>
      </c>
      <c r="E61" s="756" t="s">
        <v>647</v>
      </c>
      <c r="F61" s="614">
        <f t="shared" si="0"/>
        <v>1.5</v>
      </c>
      <c r="K61" s="1921"/>
      <c r="O61" s="2208" t="s">
        <v>2166</v>
      </c>
      <c r="P61" s="2206" t="s">
        <v>2174</v>
      </c>
      <c r="Q61" s="2207" t="e">
        <f ca="1">L58</f>
        <v>#DIV/0!</v>
      </c>
      <c r="R61" s="2210" t="s">
        <v>2175</v>
      </c>
    </row>
    <row r="62" spans="1:18" s="1895" customFormat="1" ht="18" thickBot="1">
      <c r="A62" s="786"/>
      <c r="B62" s="765"/>
      <c r="C62" s="69"/>
      <c r="D62" s="787"/>
      <c r="E62" s="756" t="s">
        <v>651</v>
      </c>
      <c r="F62" s="757">
        <f t="shared" ca="1" si="0"/>
        <v>47337.5</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8" thickBot="1">
      <c r="A63" s="1532" t="s">
        <v>1678</v>
      </c>
      <c r="B63" s="756" t="s">
        <v>653</v>
      </c>
      <c r="C63" s="53">
        <f ca="1">ROUND(C56*F63,1)</f>
        <v>792.8</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167804</v>
      </c>
      <c r="R63" s="2210" t="s">
        <v>2172</v>
      </c>
    </row>
    <row r="64" spans="1:18" s="1895" customFormat="1" ht="17" thickBot="1">
      <c r="A64" s="1532" t="s">
        <v>1679</v>
      </c>
      <c r="B64" s="756" t="s">
        <v>656</v>
      </c>
      <c r="C64" s="53">
        <f ca="1">ROUND(C55*F64,1)</f>
        <v>79.3</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8"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18" thickBot="1">
      <c r="A66" s="769" t="s">
        <v>1571</v>
      </c>
      <c r="B66" s="2673" t="s">
        <v>2592</v>
      </c>
      <c r="C66" s="771">
        <f ca="1">C47-C57</f>
        <v>-879</v>
      </c>
      <c r="D66" s="2429" t="s">
        <v>677</v>
      </c>
      <c r="E66" s="2428"/>
      <c r="F66" s="791"/>
      <c r="K66" s="1921"/>
      <c r="O66" s="2205" t="s">
        <v>2159</v>
      </c>
      <c r="P66" s="2206" t="s">
        <v>2189</v>
      </c>
      <c r="Q66" s="2207">
        <f ca="1">C40+J29</f>
        <v>167804</v>
      </c>
      <c r="R66" s="2206" t="s">
        <v>2160</v>
      </c>
    </row>
    <row r="67" spans="1:18" s="1895" customFormat="1" ht="19" thickBot="1">
      <c r="A67" s="753" t="s">
        <v>1575</v>
      </c>
      <c r="B67" s="2064" t="s">
        <v>2084</v>
      </c>
      <c r="C67" s="755">
        <f ca="1">ROUND(C66*(1-((1+F69)/(1+F67))^F68)/(F67-F69),0)</f>
        <v>-17002</v>
      </c>
      <c r="D67" s="785" t="s">
        <v>681</v>
      </c>
      <c r="E67" s="756" t="s">
        <v>682</v>
      </c>
      <c r="F67" s="766">
        <f ca="1">F40</f>
        <v>0.05</v>
      </c>
      <c r="K67" s="1921"/>
      <c r="O67" s="2205" t="s">
        <v>2161</v>
      </c>
      <c r="P67" s="2206" t="s">
        <v>2192</v>
      </c>
      <c r="Q67" s="2207">
        <f ca="1">L60</f>
        <v>0</v>
      </c>
      <c r="R67" s="2210" t="s">
        <v>2194</v>
      </c>
    </row>
    <row r="68" spans="1:18" ht="21" thickBot="1">
      <c r="A68" s="758"/>
      <c r="B68" s="759"/>
      <c r="C68" s="760"/>
      <c r="D68" s="792" t="s">
        <v>1603</v>
      </c>
      <c r="E68" s="756" t="s">
        <v>1579</v>
      </c>
      <c r="F68" s="793">
        <f ca="1">F41</f>
        <v>70</v>
      </c>
      <c r="O68" s="2208" t="s">
        <v>2163</v>
      </c>
      <c r="P68" s="2206" t="s">
        <v>2193</v>
      </c>
      <c r="Q68" s="2212">
        <f ca="1">L51</f>
        <v>0</v>
      </c>
      <c r="R68" s="2213" t="s">
        <v>2196</v>
      </c>
    </row>
    <row r="69" spans="1:18" ht="19" thickBot="1">
      <c r="A69" s="762"/>
      <c r="B69" s="763"/>
      <c r="C69" s="764"/>
      <c r="D69" s="787"/>
      <c r="E69" s="756" t="s">
        <v>687</v>
      </c>
      <c r="F69" s="2178"/>
      <c r="O69" s="2208" t="s">
        <v>2164</v>
      </c>
      <c r="P69" s="2214" t="s">
        <v>2178</v>
      </c>
      <c r="Q69" s="2207">
        <f ca="1">ROUND(Q70-Q71*Q72,0)</f>
        <v>2096</v>
      </c>
      <c r="R69" s="2210"/>
    </row>
    <row r="70" spans="1:18" ht="18" thickBot="1">
      <c r="A70" s="794" t="s">
        <v>1582</v>
      </c>
      <c r="B70" s="795" t="s">
        <v>1605</v>
      </c>
      <c r="C70" s="796">
        <f ca="1">ROUND(C67*10000/F70,0)</f>
        <v>-2268</v>
      </c>
      <c r="D70" s="797" t="s">
        <v>1606</v>
      </c>
      <c r="E70" s="798" t="s">
        <v>1607</v>
      </c>
      <c r="F70" s="799">
        <f ca="1">F43</f>
        <v>74951.23</v>
      </c>
      <c r="O70" s="2208" t="s">
        <v>2179</v>
      </c>
      <c r="P70" s="2214" t="s">
        <v>2180</v>
      </c>
      <c r="Q70" s="2207">
        <f ca="1">C39</f>
        <v>5796</v>
      </c>
      <c r="R70" s="2206" t="s">
        <v>2160</v>
      </c>
    </row>
    <row r="71" spans="1:18" ht="18" thickBot="1">
      <c r="O71" s="2208" t="s">
        <v>2181</v>
      </c>
      <c r="P71" s="2214" t="s">
        <v>2182</v>
      </c>
      <c r="Q71" s="2207">
        <f ca="1">C13</f>
        <v>52856</v>
      </c>
      <c r="R71" s="2206" t="s">
        <v>2160</v>
      </c>
    </row>
    <row r="72" spans="1:18" ht="18" thickBot="1">
      <c r="O72" s="2208" t="s">
        <v>2183</v>
      </c>
      <c r="P72" s="2214" t="s">
        <v>2184</v>
      </c>
      <c r="Q72" s="2209">
        <f ca="1">J36</f>
        <v>7.0000000000000007E-2</v>
      </c>
      <c r="R72" s="2210"/>
    </row>
    <row r="73" spans="1:18" ht="18" thickBot="1">
      <c r="O73" s="2208" t="s">
        <v>2166</v>
      </c>
      <c r="P73" s="2206" t="s">
        <v>2173</v>
      </c>
      <c r="Q73" s="2209">
        <f>L52</f>
        <v>0</v>
      </c>
      <c r="R73" s="2210"/>
    </row>
    <row r="74" spans="1:18" ht="19" thickBot="1">
      <c r="O74" s="2208" t="s">
        <v>2168</v>
      </c>
      <c r="P74" s="2206" t="s">
        <v>2174</v>
      </c>
      <c r="Q74" s="2207" t="e">
        <f ca="1">L58</f>
        <v>#DIV/0!</v>
      </c>
      <c r="R74" s="2210" t="s">
        <v>2175</v>
      </c>
    </row>
    <row r="75" spans="1:18" ht="18" thickBot="1">
      <c r="O75" s="2208" t="s">
        <v>2197</v>
      </c>
      <c r="P75" s="2206" t="str">
        <f>K59</f>
        <v>建筑物剩余耐用年限下的土地年期修正系数Kn</v>
      </c>
      <c r="Q75" s="2207" t="e">
        <f ca="1">L59</f>
        <v>#DIV/0!</v>
      </c>
      <c r="R75" s="2210" t="s">
        <v>2177</v>
      </c>
    </row>
    <row r="76" spans="1:18" ht="18" thickBot="1">
      <c r="O76" s="2205" t="s">
        <v>2171</v>
      </c>
      <c r="P76" s="2206" t="s">
        <v>2188</v>
      </c>
      <c r="Q76" s="2207">
        <f ca="1">Q66+Q67</f>
        <v>167804</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48896-B4E1-4082-A774-7558027F3035}">
  <sheetPr>
    <tabColor rgb="FF92D050"/>
  </sheetPr>
  <dimension ref="A1:P33"/>
  <sheetViews>
    <sheetView workbookViewId="0">
      <selection activeCell="N17" sqref="N17"/>
    </sheetView>
  </sheetViews>
  <sheetFormatPr baseColWidth="10" defaultColWidth="8.83203125" defaultRowHeight="14"/>
  <cols>
    <col min="1" max="1" width="13.1640625" customWidth="1"/>
    <col min="2" max="3" width="12.1640625" customWidth="1"/>
    <col min="4" max="4" width="7.83203125" customWidth="1"/>
    <col min="7" max="7" width="3.6640625" customWidth="1"/>
    <col min="8" max="8" width="4" customWidth="1"/>
    <col min="9" max="9" width="17" customWidth="1"/>
  </cols>
  <sheetData>
    <row r="1" spans="1:14">
      <c r="B1" s="3184" t="s">
        <v>3170</v>
      </c>
      <c r="C1" s="3184" t="s">
        <v>3183</v>
      </c>
      <c r="D1" s="3184" t="s">
        <v>3184</v>
      </c>
    </row>
    <row r="2" spans="1:14">
      <c r="A2" s="3758" t="s">
        <v>3189</v>
      </c>
      <c r="B2" s="3184" t="s">
        <v>3171</v>
      </c>
      <c r="C2">
        <v>16354.69</v>
      </c>
      <c r="D2" s="3184" t="s">
        <v>3186</v>
      </c>
    </row>
    <row r="3" spans="1:14">
      <c r="A3" s="3759"/>
      <c r="B3" s="3184" t="s">
        <v>3172</v>
      </c>
      <c r="C3">
        <v>6684.59</v>
      </c>
      <c r="D3" s="3184" t="s">
        <v>3185</v>
      </c>
    </row>
    <row r="4" spans="1:14">
      <c r="A4" s="3759"/>
      <c r="B4" s="3184" t="s">
        <v>3173</v>
      </c>
      <c r="C4">
        <v>6318.96</v>
      </c>
      <c r="D4" s="3184" t="s">
        <v>3185</v>
      </c>
    </row>
    <row r="5" spans="1:14">
      <c r="A5" s="3759"/>
      <c r="B5" s="3184" t="s">
        <v>3174</v>
      </c>
      <c r="C5">
        <v>6318.96</v>
      </c>
      <c r="D5" s="3184" t="s">
        <v>3185</v>
      </c>
    </row>
    <row r="6" spans="1:14">
      <c r="A6" s="3759"/>
      <c r="B6" s="3184" t="s">
        <v>3175</v>
      </c>
      <c r="C6">
        <v>6477.44</v>
      </c>
      <c r="D6" s="3184" t="s">
        <v>3185</v>
      </c>
    </row>
    <row r="7" spans="1:14">
      <c r="A7" s="3759"/>
      <c r="B7" s="3184" t="s">
        <v>3176</v>
      </c>
      <c r="C7">
        <v>13131.59</v>
      </c>
      <c r="D7" s="3184" t="s">
        <v>3185</v>
      </c>
    </row>
    <row r="8" spans="1:14">
      <c r="A8" s="3759"/>
      <c r="B8" s="3184" t="s">
        <v>3177</v>
      </c>
      <c r="C8">
        <v>6160.98</v>
      </c>
      <c r="D8" s="3184" t="s">
        <v>3185</v>
      </c>
    </row>
    <row r="9" spans="1:14">
      <c r="A9" s="3759"/>
      <c r="B9" s="3184" t="s">
        <v>3178</v>
      </c>
      <c r="C9">
        <v>6160.98</v>
      </c>
      <c r="D9" s="3184" t="s">
        <v>3185</v>
      </c>
    </row>
    <row r="10" spans="1:14">
      <c r="A10" s="3759"/>
      <c r="B10" s="3184" t="s">
        <v>3179</v>
      </c>
      <c r="C10">
        <v>4127.58</v>
      </c>
      <c r="D10" s="3184" t="s">
        <v>3187</v>
      </c>
    </row>
    <row r="11" spans="1:14">
      <c r="A11" s="3759"/>
      <c r="B11" s="3184" t="s">
        <v>3180</v>
      </c>
      <c r="C11">
        <v>4127.58</v>
      </c>
      <c r="D11" s="3184" t="s">
        <v>3187</v>
      </c>
    </row>
    <row r="12" spans="1:14">
      <c r="A12" s="3759"/>
      <c r="B12" s="3184" t="s">
        <v>3181</v>
      </c>
      <c r="C12">
        <v>4127.58</v>
      </c>
      <c r="D12" s="3184" t="s">
        <v>3187</v>
      </c>
    </row>
    <row r="13" spans="1:14">
      <c r="A13" s="3759"/>
      <c r="B13" s="3184" t="s">
        <v>3182</v>
      </c>
      <c r="C13">
        <v>4127.58</v>
      </c>
      <c r="D13" s="3184" t="s">
        <v>3187</v>
      </c>
    </row>
    <row r="14" spans="1:14">
      <c r="A14" s="3758" t="s">
        <v>3204</v>
      </c>
      <c r="B14" s="3759"/>
      <c r="C14">
        <f>SUM(C2:C13)</f>
        <v>84118.51</v>
      </c>
      <c r="D14" s="3184"/>
      <c r="M14" s="3184" t="s">
        <v>3233</v>
      </c>
      <c r="N14">
        <f>C14</f>
        <v>84118.51</v>
      </c>
    </row>
    <row r="15" spans="1:14">
      <c r="A15" s="3184" t="s">
        <v>3190</v>
      </c>
      <c r="B15" s="3184" t="s">
        <v>3191</v>
      </c>
      <c r="C15">
        <v>28153.97</v>
      </c>
      <c r="D15" s="3758" t="s">
        <v>3192</v>
      </c>
      <c r="E15" s="3758"/>
      <c r="F15">
        <v>153.97</v>
      </c>
      <c r="G15" s="3758" t="s">
        <v>3198</v>
      </c>
      <c r="H15" s="3758"/>
      <c r="I15" s="3758"/>
      <c r="J15">
        <v>28000</v>
      </c>
      <c r="M15" s="3184" t="s">
        <v>3235</v>
      </c>
      <c r="N15">
        <f>J15</f>
        <v>28000</v>
      </c>
    </row>
    <row r="16" spans="1:14">
      <c r="D16" s="3760" t="s">
        <v>3194</v>
      </c>
      <c r="E16" s="3184" t="s">
        <v>3193</v>
      </c>
      <c r="F16">
        <v>27.97</v>
      </c>
      <c r="G16" s="3758" t="s">
        <v>3194</v>
      </c>
      <c r="H16" s="3758" t="s">
        <v>3199</v>
      </c>
      <c r="I16" s="3758"/>
      <c r="J16">
        <v>26841.9</v>
      </c>
    </row>
    <row r="17" spans="1:16">
      <c r="D17" s="3760"/>
      <c r="E17" s="3184" t="s">
        <v>3195</v>
      </c>
      <c r="F17">
        <v>40</v>
      </c>
      <c r="G17" s="3758"/>
      <c r="H17" s="3758" t="s">
        <v>3194</v>
      </c>
      <c r="I17" s="3184" t="s">
        <v>3200</v>
      </c>
      <c r="J17">
        <v>4385</v>
      </c>
      <c r="M17" s="3184" t="s">
        <v>3237</v>
      </c>
      <c r="N17">
        <f>B25</f>
        <v>74951.23</v>
      </c>
      <c r="P17">
        <f>N14-N17-N18</f>
        <v>723.65999999999804</v>
      </c>
    </row>
    <row r="18" spans="1:16">
      <c r="D18" s="3760"/>
      <c r="E18" s="3184" t="s">
        <v>3196</v>
      </c>
      <c r="F18">
        <v>56</v>
      </c>
      <c r="G18" s="3758"/>
      <c r="H18" s="3759"/>
      <c r="I18" s="3184" t="s">
        <v>3199</v>
      </c>
      <c r="J18">
        <v>22456.9</v>
      </c>
      <c r="M18" s="3184" t="s">
        <v>3238</v>
      </c>
      <c r="N18">
        <f>B26</f>
        <v>8443.6200000000008</v>
      </c>
    </row>
    <row r="19" spans="1:16">
      <c r="D19" s="3760"/>
      <c r="E19" s="3184" t="s">
        <v>3197</v>
      </c>
      <c r="F19">
        <v>30</v>
      </c>
      <c r="G19" s="3758"/>
      <c r="H19" s="3758" t="s">
        <v>3201</v>
      </c>
      <c r="I19" s="3759"/>
      <c r="J19">
        <v>845</v>
      </c>
      <c r="M19" s="3184" t="s">
        <v>3235</v>
      </c>
      <c r="N19">
        <f>B28</f>
        <v>28000</v>
      </c>
    </row>
    <row r="20" spans="1:16">
      <c r="A20" s="3184" t="s">
        <v>3217</v>
      </c>
      <c r="B20">
        <f>C14/B22</f>
        <v>1.5970767206566128</v>
      </c>
      <c r="G20" s="3758"/>
      <c r="H20" s="3758" t="s">
        <v>3202</v>
      </c>
      <c r="I20" s="3759"/>
      <c r="J20">
        <v>250</v>
      </c>
    </row>
    <row r="21" spans="1:16">
      <c r="G21" s="3758"/>
      <c r="H21" s="3758" t="s">
        <v>3203</v>
      </c>
      <c r="I21" s="3759"/>
      <c r="J21">
        <v>63.1</v>
      </c>
    </row>
    <row r="22" spans="1:16">
      <c r="A22" s="3184" t="s">
        <v>3216</v>
      </c>
      <c r="B22">
        <f>'数据-基础表'!A3</f>
        <v>52670.3</v>
      </c>
    </row>
    <row r="25" spans="1:16">
      <c r="A25" s="3184" t="s">
        <v>3210</v>
      </c>
      <c r="B25">
        <v>74951.23</v>
      </c>
      <c r="C25" s="3184" t="s">
        <v>3211</v>
      </c>
    </row>
    <row r="26" spans="1:16">
      <c r="A26" s="3184" t="s">
        <v>3212</v>
      </c>
      <c r="B26">
        <v>8443.6200000000008</v>
      </c>
      <c r="C26" s="3184" t="s">
        <v>3211</v>
      </c>
    </row>
    <row r="27" spans="1:16">
      <c r="A27" s="3184" t="s">
        <v>3214</v>
      </c>
      <c r="B27">
        <f>SUM(B25:B26)</f>
        <v>83394.849999999991</v>
      </c>
      <c r="C27">
        <f>(C14-B27)/C14</f>
        <v>8.602862794407598E-3</v>
      </c>
      <c r="D27" s="3184" t="s">
        <v>3215</v>
      </c>
    </row>
    <row r="28" spans="1:16">
      <c r="A28" s="3184" t="s">
        <v>3213</v>
      </c>
      <c r="B28">
        <v>28000</v>
      </c>
      <c r="C28" s="3184" t="s">
        <v>3211</v>
      </c>
    </row>
    <row r="29" spans="1:16">
      <c r="A29" s="3184" t="s">
        <v>3217</v>
      </c>
      <c r="B29">
        <f>B27/B22</f>
        <v>1.5833372887566615</v>
      </c>
    </row>
    <row r="33" spans="1:1">
      <c r="A33" s="3184" t="s">
        <v>3218</v>
      </c>
    </row>
  </sheetData>
  <mergeCells count="11">
    <mergeCell ref="H20:I20"/>
    <mergeCell ref="H21:I21"/>
    <mergeCell ref="G16:G21"/>
    <mergeCell ref="A14:B14"/>
    <mergeCell ref="A2:A13"/>
    <mergeCell ref="D15:E15"/>
    <mergeCell ref="D16:D19"/>
    <mergeCell ref="G15:I15"/>
    <mergeCell ref="H16:I16"/>
    <mergeCell ref="H17:H18"/>
    <mergeCell ref="H19:I19"/>
  </mergeCells>
  <phoneticPr fontId="22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953-B315-4438-BD61-8A6BBE496EC9}">
  <sheetPr>
    <tabColor rgb="FF92D050"/>
  </sheetPr>
  <dimension ref="A1:L19"/>
  <sheetViews>
    <sheetView topLeftCell="A7" workbookViewId="0">
      <selection activeCell="E25" sqref="E25"/>
    </sheetView>
  </sheetViews>
  <sheetFormatPr baseColWidth="10" defaultColWidth="8.83203125" defaultRowHeight="14"/>
  <cols>
    <col min="1" max="2" width="8.6640625" customWidth="1"/>
    <col min="4" max="4" width="12.33203125" customWidth="1"/>
    <col min="5" max="5" width="13.33203125" customWidth="1"/>
    <col min="7" max="7" width="16.1640625" customWidth="1"/>
    <col min="8" max="8" width="16.1640625" hidden="1" customWidth="1"/>
    <col min="9" max="9" width="12.5" customWidth="1"/>
    <col min="10" max="10" width="16.1640625" customWidth="1"/>
    <col min="11" max="11" width="17.6640625" customWidth="1"/>
    <col min="12" max="12" width="13.6640625" customWidth="1"/>
  </cols>
  <sheetData>
    <row r="1" spans="1:12">
      <c r="C1" s="3184" t="s">
        <v>955</v>
      </c>
      <c r="D1">
        <v>84118.51</v>
      </c>
      <c r="E1" s="3184" t="s">
        <v>3211</v>
      </c>
    </row>
    <row r="2" spans="1:12">
      <c r="C2" s="3184" t="s">
        <v>3234</v>
      </c>
      <c r="D2">
        <v>28000</v>
      </c>
      <c r="E2" s="3184" t="s">
        <v>3211</v>
      </c>
    </row>
    <row r="4" spans="1:12">
      <c r="C4" s="3184" t="s">
        <v>3236</v>
      </c>
      <c r="D4">
        <v>74951.23</v>
      </c>
      <c r="E4" s="3184" t="s">
        <v>3211</v>
      </c>
    </row>
    <row r="5" spans="1:12">
      <c r="C5" s="3184" t="s">
        <v>3207</v>
      </c>
      <c r="D5">
        <v>8443.6200000000008</v>
      </c>
      <c r="E5" s="3184" t="s">
        <v>3211</v>
      </c>
    </row>
    <row r="6" spans="1:12">
      <c r="C6" s="3184" t="s">
        <v>3234</v>
      </c>
      <c r="D6">
        <v>28000</v>
      </c>
      <c r="E6" s="3184" t="s">
        <v>3211</v>
      </c>
    </row>
    <row r="10" spans="1:12" ht="36">
      <c r="A10" s="3761" t="s">
        <v>3247</v>
      </c>
      <c r="B10" s="3762"/>
      <c r="C10" s="3763"/>
      <c r="D10" s="3463" t="s">
        <v>3239</v>
      </c>
      <c r="E10" s="3463" t="s">
        <v>3240</v>
      </c>
      <c r="G10" s="3468" t="s">
        <v>3253</v>
      </c>
      <c r="H10" s="3468" t="s">
        <v>3254</v>
      </c>
      <c r="I10" s="3468" t="s">
        <v>3248</v>
      </c>
      <c r="J10" s="3468" t="s">
        <v>3249</v>
      </c>
      <c r="K10" s="3469" t="s">
        <v>3250</v>
      </c>
      <c r="L10" s="3470" t="s">
        <v>3255</v>
      </c>
    </row>
    <row r="11" spans="1:12" ht="17">
      <c r="A11" s="3761" t="s">
        <v>2706</v>
      </c>
      <c r="B11" s="3762"/>
      <c r="C11" s="3763"/>
      <c r="D11" s="3463">
        <f>规划条件!B22</f>
        <v>52670.3</v>
      </c>
      <c r="E11" s="3463">
        <f>D11</f>
        <v>52670.3</v>
      </c>
      <c r="G11" s="3468" t="s">
        <v>3233</v>
      </c>
      <c r="H11" s="3468" t="s">
        <v>3256</v>
      </c>
      <c r="I11" s="3468" t="s">
        <v>3251</v>
      </c>
      <c r="J11" s="3468" t="s">
        <v>3257</v>
      </c>
      <c r="K11" s="3468">
        <v>2340</v>
      </c>
      <c r="L11" s="3468">
        <f>'[2]基准地价（工业）'!$C$33</f>
        <v>2189</v>
      </c>
    </row>
    <row r="12" spans="1:12" ht="17">
      <c r="A12" s="3764" t="s">
        <v>3246</v>
      </c>
      <c r="B12" s="3764" t="s">
        <v>3189</v>
      </c>
      <c r="C12" s="3463" t="s">
        <v>3241</v>
      </c>
      <c r="D12" s="3463">
        <f>D1</f>
        <v>84118.51</v>
      </c>
      <c r="E12" s="3463" t="s">
        <v>3244</v>
      </c>
      <c r="G12" s="3468" t="s">
        <v>3252</v>
      </c>
      <c r="H12" s="3471" t="s">
        <v>3258</v>
      </c>
      <c r="I12" s="3468" t="s">
        <v>3251</v>
      </c>
      <c r="J12" s="3471" t="s">
        <v>3259</v>
      </c>
      <c r="K12" s="3471">
        <v>13140</v>
      </c>
      <c r="L12" s="3468">
        <f>'[2]基准地价（住宅）'!$C$33</f>
        <v>12812</v>
      </c>
    </row>
    <row r="13" spans="1:12" ht="17">
      <c r="A13" s="3765"/>
      <c r="B13" s="3765"/>
      <c r="C13" s="3463" t="s">
        <v>3243</v>
      </c>
      <c r="D13" s="3463" t="s">
        <v>3244</v>
      </c>
      <c r="E13" s="3466">
        <f>D4</f>
        <v>74951.23</v>
      </c>
      <c r="G13" s="3468" t="s">
        <v>3238</v>
      </c>
      <c r="H13" s="3471" t="s">
        <v>3258</v>
      </c>
      <c r="I13" s="3468" t="s">
        <v>3251</v>
      </c>
      <c r="J13" s="3471" t="s">
        <v>3259</v>
      </c>
      <c r="K13" s="3471">
        <v>10430</v>
      </c>
      <c r="L13" s="3468">
        <f>'[2]基准地价（商业）'!$C$33</f>
        <v>15973</v>
      </c>
    </row>
    <row r="14" spans="1:12" ht="17">
      <c r="A14" s="3765"/>
      <c r="B14" s="3766"/>
      <c r="C14" s="3463" t="s">
        <v>3242</v>
      </c>
      <c r="D14" s="3463" t="s">
        <v>3244</v>
      </c>
      <c r="E14" s="3466">
        <f>D5</f>
        <v>8443.6200000000008</v>
      </c>
    </row>
    <row r="15" spans="1:12" ht="17">
      <c r="A15" s="3765"/>
      <c r="B15" s="3770" t="s">
        <v>3204</v>
      </c>
      <c r="C15" s="3771"/>
      <c r="D15" s="3463">
        <f>D12</f>
        <v>84118.51</v>
      </c>
      <c r="E15" s="3466">
        <f>E13+E14</f>
        <v>83394.849999999991</v>
      </c>
    </row>
    <row r="16" spans="1:12" ht="18">
      <c r="A16" s="3766"/>
      <c r="B16" s="3465" t="s">
        <v>3190</v>
      </c>
      <c r="C16" s="3463" t="s">
        <v>3191</v>
      </c>
      <c r="D16" s="3463">
        <f>D2</f>
        <v>28000</v>
      </c>
      <c r="E16" s="3463">
        <f>D6</f>
        <v>28000</v>
      </c>
    </row>
    <row r="17" spans="1:5" ht="17">
      <c r="A17" s="3767" t="s">
        <v>3245</v>
      </c>
      <c r="B17" s="3768"/>
      <c r="C17" s="3769"/>
      <c r="D17" s="3464">
        <f>ROUND(D12/D11,2)</f>
        <v>1.6</v>
      </c>
      <c r="E17" s="3467">
        <f>ROUND((E13+E14)/E11,2)</f>
        <v>1.58</v>
      </c>
    </row>
    <row r="19" spans="1:5" ht="12.75" customHeight="1"/>
  </sheetData>
  <mergeCells count="6">
    <mergeCell ref="A10:C10"/>
    <mergeCell ref="A11:C11"/>
    <mergeCell ref="A12:A16"/>
    <mergeCell ref="A17:C17"/>
    <mergeCell ref="B12:B14"/>
    <mergeCell ref="B15:C15"/>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E93C5-CEA8-4A99-A422-06BB8158F7CB}">
  <sheetPr>
    <tabColor rgb="FF92D050"/>
  </sheetPr>
  <dimension ref="A1:C6"/>
  <sheetViews>
    <sheetView workbookViewId="0">
      <selection activeCell="C27" sqref="C27"/>
    </sheetView>
  </sheetViews>
  <sheetFormatPr baseColWidth="10" defaultColWidth="8.83203125" defaultRowHeight="14"/>
  <cols>
    <col min="1" max="1" width="15" customWidth="1"/>
    <col min="2" max="2" width="36.1640625" customWidth="1"/>
    <col min="3" max="3" width="34.1640625" customWidth="1"/>
  </cols>
  <sheetData>
    <row r="1" spans="1:3">
      <c r="A1" s="3462" t="s">
        <v>3219</v>
      </c>
      <c r="B1" s="3462" t="s">
        <v>3220</v>
      </c>
      <c r="C1" s="3462" t="s">
        <v>3221</v>
      </c>
    </row>
    <row r="2" spans="1:3">
      <c r="A2" s="3462" t="s">
        <v>3222</v>
      </c>
      <c r="B2" s="3462" t="s">
        <v>3223</v>
      </c>
      <c r="C2" s="3462" t="s">
        <v>3223</v>
      </c>
    </row>
    <row r="3" spans="1:3">
      <c r="A3" s="3462" t="s">
        <v>3224</v>
      </c>
      <c r="B3" s="3462" t="s">
        <v>3229</v>
      </c>
      <c r="C3" s="3462" t="s">
        <v>3229</v>
      </c>
    </row>
    <row r="4" spans="1:3">
      <c r="A4" s="3462" t="s">
        <v>3225</v>
      </c>
      <c r="B4" s="3462" t="s">
        <v>3226</v>
      </c>
      <c r="C4" s="3462" t="s">
        <v>3226</v>
      </c>
    </row>
    <row r="5" spans="1:3">
      <c r="A5" s="3462" t="s">
        <v>3227</v>
      </c>
      <c r="B5" s="3462" t="s">
        <v>3230</v>
      </c>
      <c r="C5" s="3462" t="s">
        <v>3230</v>
      </c>
    </row>
    <row r="6" spans="1:3">
      <c r="A6" s="3462" t="s">
        <v>3228</v>
      </c>
      <c r="B6" s="3462" t="s">
        <v>3231</v>
      </c>
      <c r="C6" s="3462" t="s">
        <v>3232</v>
      </c>
    </row>
  </sheetData>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baseColWidth="10" defaultColWidth="8.83203125" defaultRowHeight="13.25" customHeight="1"/>
  <cols>
    <col min="1" max="1" width="9.5" style="3253" customWidth="1"/>
    <col min="2" max="2" width="8.83203125" style="3253"/>
    <col min="3" max="5" width="12.83203125" style="3253" customWidth="1"/>
    <col min="6" max="6" width="47.5" style="3253" customWidth="1"/>
    <col min="7" max="7" width="13" style="3410" customWidth="1"/>
    <col min="8" max="8" width="8.83203125" style="3247"/>
    <col min="9" max="9" width="8.83203125" style="3248"/>
    <col min="10" max="10" width="5.6640625" style="3411" customWidth="1"/>
    <col min="11" max="11" width="11.6640625" style="3411" customWidth="1"/>
    <col min="12" max="13" width="10.6640625" style="3411" customWidth="1"/>
    <col min="14" max="14" width="10" style="3411" customWidth="1"/>
    <col min="15" max="16" width="10.5" style="3411" bestFit="1" customWidth="1"/>
    <col min="17" max="17" width="10" style="3411" customWidth="1"/>
    <col min="18" max="18" width="10.1640625" style="3411" customWidth="1"/>
    <col min="19" max="19" width="10" style="3411" customWidth="1"/>
    <col min="20" max="20" width="26.1640625" style="3411" customWidth="1"/>
    <col min="21" max="21" width="8.83203125" style="3411"/>
    <col min="22" max="22" width="8.83203125" style="3248"/>
    <col min="23" max="256" width="8.83203125" style="3253"/>
    <col min="257" max="257" width="9.5" style="3253" customWidth="1"/>
    <col min="258" max="258" width="8.83203125" style="3253"/>
    <col min="259" max="261" width="12.83203125" style="3253" customWidth="1"/>
    <col min="262" max="262" width="47.5" style="3253" customWidth="1"/>
    <col min="263" max="263" width="13" style="3253" customWidth="1"/>
    <col min="264" max="265" width="8.83203125" style="3253"/>
    <col min="266" max="266" width="5.6640625" style="3253" customWidth="1"/>
    <col min="267" max="267" width="11.6640625" style="3253" customWidth="1"/>
    <col min="268" max="269" width="10.6640625" style="3253" customWidth="1"/>
    <col min="270" max="270" width="10" style="3253" customWidth="1"/>
    <col min="271" max="272" width="10.5" style="3253" bestFit="1" customWidth="1"/>
    <col min="273" max="273" width="10" style="3253" customWidth="1"/>
    <col min="274" max="274" width="10.1640625" style="3253" customWidth="1"/>
    <col min="275" max="275" width="10" style="3253" customWidth="1"/>
    <col min="276" max="276" width="26.1640625" style="3253" customWidth="1"/>
    <col min="277" max="512" width="8.83203125" style="3253"/>
    <col min="513" max="513" width="9.5" style="3253" customWidth="1"/>
    <col min="514" max="514" width="8.83203125" style="3253"/>
    <col min="515" max="517" width="12.83203125" style="3253" customWidth="1"/>
    <col min="518" max="518" width="47.5" style="3253" customWidth="1"/>
    <col min="519" max="519" width="13" style="3253" customWidth="1"/>
    <col min="520" max="521" width="8.83203125" style="3253"/>
    <col min="522" max="522" width="5.6640625" style="3253" customWidth="1"/>
    <col min="523" max="523" width="11.6640625" style="3253" customWidth="1"/>
    <col min="524" max="525" width="10.6640625" style="3253" customWidth="1"/>
    <col min="526" max="526" width="10" style="3253" customWidth="1"/>
    <col min="527" max="528" width="10.5" style="3253" bestFit="1" customWidth="1"/>
    <col min="529" max="529" width="10" style="3253" customWidth="1"/>
    <col min="530" max="530" width="10.1640625" style="3253" customWidth="1"/>
    <col min="531" max="531" width="10" style="3253" customWidth="1"/>
    <col min="532" max="532" width="26.1640625" style="3253" customWidth="1"/>
    <col min="533" max="768" width="8.83203125" style="3253"/>
    <col min="769" max="769" width="9.5" style="3253" customWidth="1"/>
    <col min="770" max="770" width="8.83203125" style="3253"/>
    <col min="771" max="773" width="12.83203125" style="3253" customWidth="1"/>
    <col min="774" max="774" width="47.5" style="3253" customWidth="1"/>
    <col min="775" max="775" width="13" style="3253" customWidth="1"/>
    <col min="776" max="777" width="8.83203125" style="3253"/>
    <col min="778" max="778" width="5.6640625" style="3253" customWidth="1"/>
    <col min="779" max="779" width="11.6640625" style="3253" customWidth="1"/>
    <col min="780" max="781" width="10.6640625" style="3253" customWidth="1"/>
    <col min="782" max="782" width="10" style="3253" customWidth="1"/>
    <col min="783" max="784" width="10.5" style="3253" bestFit="1" customWidth="1"/>
    <col min="785" max="785" width="10" style="3253" customWidth="1"/>
    <col min="786" max="786" width="10.1640625" style="3253" customWidth="1"/>
    <col min="787" max="787" width="10" style="3253" customWidth="1"/>
    <col min="788" max="788" width="26.1640625" style="3253" customWidth="1"/>
    <col min="789" max="1024" width="8.83203125" style="3253"/>
    <col min="1025" max="1025" width="9.5" style="3253" customWidth="1"/>
    <col min="1026" max="1026" width="8.83203125" style="3253"/>
    <col min="1027" max="1029" width="12.83203125" style="3253" customWidth="1"/>
    <col min="1030" max="1030" width="47.5" style="3253" customWidth="1"/>
    <col min="1031" max="1031" width="13" style="3253" customWidth="1"/>
    <col min="1032" max="1033" width="8.83203125" style="3253"/>
    <col min="1034" max="1034" width="5.6640625" style="3253" customWidth="1"/>
    <col min="1035" max="1035" width="11.6640625" style="3253" customWidth="1"/>
    <col min="1036" max="1037" width="10.6640625" style="3253" customWidth="1"/>
    <col min="1038" max="1038" width="10" style="3253" customWidth="1"/>
    <col min="1039" max="1040" width="10.5" style="3253" bestFit="1" customWidth="1"/>
    <col min="1041" max="1041" width="10" style="3253" customWidth="1"/>
    <col min="1042" max="1042" width="10.1640625" style="3253" customWidth="1"/>
    <col min="1043" max="1043" width="10" style="3253" customWidth="1"/>
    <col min="1044" max="1044" width="26.1640625" style="3253" customWidth="1"/>
    <col min="1045" max="1280" width="8.83203125" style="3253"/>
    <col min="1281" max="1281" width="9.5" style="3253" customWidth="1"/>
    <col min="1282" max="1282" width="8.83203125" style="3253"/>
    <col min="1283" max="1285" width="12.83203125" style="3253" customWidth="1"/>
    <col min="1286" max="1286" width="47.5" style="3253" customWidth="1"/>
    <col min="1287" max="1287" width="13" style="3253" customWidth="1"/>
    <col min="1288" max="1289" width="8.83203125" style="3253"/>
    <col min="1290" max="1290" width="5.6640625" style="3253" customWidth="1"/>
    <col min="1291" max="1291" width="11.6640625" style="3253" customWidth="1"/>
    <col min="1292" max="1293" width="10.6640625" style="3253" customWidth="1"/>
    <col min="1294" max="1294" width="10" style="3253" customWidth="1"/>
    <col min="1295" max="1296" width="10.5" style="3253" bestFit="1" customWidth="1"/>
    <col min="1297" max="1297" width="10" style="3253" customWidth="1"/>
    <col min="1298" max="1298" width="10.1640625" style="3253" customWidth="1"/>
    <col min="1299" max="1299" width="10" style="3253" customWidth="1"/>
    <col min="1300" max="1300" width="26.1640625" style="3253" customWidth="1"/>
    <col min="1301" max="1536" width="8.83203125" style="3253"/>
    <col min="1537" max="1537" width="9.5" style="3253" customWidth="1"/>
    <col min="1538" max="1538" width="8.83203125" style="3253"/>
    <col min="1539" max="1541" width="12.83203125" style="3253" customWidth="1"/>
    <col min="1542" max="1542" width="47.5" style="3253" customWidth="1"/>
    <col min="1543" max="1543" width="13" style="3253" customWidth="1"/>
    <col min="1544" max="1545" width="8.83203125" style="3253"/>
    <col min="1546" max="1546" width="5.6640625" style="3253" customWidth="1"/>
    <col min="1547" max="1547" width="11.6640625" style="3253" customWidth="1"/>
    <col min="1548" max="1549" width="10.6640625" style="3253" customWidth="1"/>
    <col min="1550" max="1550" width="10" style="3253" customWidth="1"/>
    <col min="1551" max="1552" width="10.5" style="3253" bestFit="1" customWidth="1"/>
    <col min="1553" max="1553" width="10" style="3253" customWidth="1"/>
    <col min="1554" max="1554" width="10.1640625" style="3253" customWidth="1"/>
    <col min="1555" max="1555" width="10" style="3253" customWidth="1"/>
    <col min="1556" max="1556" width="26.1640625" style="3253" customWidth="1"/>
    <col min="1557" max="1792" width="8.83203125" style="3253"/>
    <col min="1793" max="1793" width="9.5" style="3253" customWidth="1"/>
    <col min="1794" max="1794" width="8.83203125" style="3253"/>
    <col min="1795" max="1797" width="12.83203125" style="3253" customWidth="1"/>
    <col min="1798" max="1798" width="47.5" style="3253" customWidth="1"/>
    <col min="1799" max="1799" width="13" style="3253" customWidth="1"/>
    <col min="1800" max="1801" width="8.83203125" style="3253"/>
    <col min="1802" max="1802" width="5.6640625" style="3253" customWidth="1"/>
    <col min="1803" max="1803" width="11.6640625" style="3253" customWidth="1"/>
    <col min="1804" max="1805" width="10.6640625" style="3253" customWidth="1"/>
    <col min="1806" max="1806" width="10" style="3253" customWidth="1"/>
    <col min="1807" max="1808" width="10.5" style="3253" bestFit="1" customWidth="1"/>
    <col min="1809" max="1809" width="10" style="3253" customWidth="1"/>
    <col min="1810" max="1810" width="10.1640625" style="3253" customWidth="1"/>
    <col min="1811" max="1811" width="10" style="3253" customWidth="1"/>
    <col min="1812" max="1812" width="26.1640625" style="3253" customWidth="1"/>
    <col min="1813" max="2048" width="8.83203125" style="3253"/>
    <col min="2049" max="2049" width="9.5" style="3253" customWidth="1"/>
    <col min="2050" max="2050" width="8.83203125" style="3253"/>
    <col min="2051" max="2053" width="12.83203125" style="3253" customWidth="1"/>
    <col min="2054" max="2054" width="47.5" style="3253" customWidth="1"/>
    <col min="2055" max="2055" width="13" style="3253" customWidth="1"/>
    <col min="2056" max="2057" width="8.83203125" style="3253"/>
    <col min="2058" max="2058" width="5.6640625" style="3253" customWidth="1"/>
    <col min="2059" max="2059" width="11.6640625" style="3253" customWidth="1"/>
    <col min="2060" max="2061" width="10.6640625" style="3253" customWidth="1"/>
    <col min="2062" max="2062" width="10" style="3253" customWidth="1"/>
    <col min="2063" max="2064" width="10.5" style="3253" bestFit="1" customWidth="1"/>
    <col min="2065" max="2065" width="10" style="3253" customWidth="1"/>
    <col min="2066" max="2066" width="10.1640625" style="3253" customWidth="1"/>
    <col min="2067" max="2067" width="10" style="3253" customWidth="1"/>
    <col min="2068" max="2068" width="26.1640625" style="3253" customWidth="1"/>
    <col min="2069" max="2304" width="8.83203125" style="3253"/>
    <col min="2305" max="2305" width="9.5" style="3253" customWidth="1"/>
    <col min="2306" max="2306" width="8.83203125" style="3253"/>
    <col min="2307" max="2309" width="12.83203125" style="3253" customWidth="1"/>
    <col min="2310" max="2310" width="47.5" style="3253" customWidth="1"/>
    <col min="2311" max="2311" width="13" style="3253" customWidth="1"/>
    <col min="2312" max="2313" width="8.83203125" style="3253"/>
    <col min="2314" max="2314" width="5.6640625" style="3253" customWidth="1"/>
    <col min="2315" max="2315" width="11.6640625" style="3253" customWidth="1"/>
    <col min="2316" max="2317" width="10.6640625" style="3253" customWidth="1"/>
    <col min="2318" max="2318" width="10" style="3253" customWidth="1"/>
    <col min="2319" max="2320" width="10.5" style="3253" bestFit="1" customWidth="1"/>
    <col min="2321" max="2321" width="10" style="3253" customWidth="1"/>
    <col min="2322" max="2322" width="10.1640625" style="3253" customWidth="1"/>
    <col min="2323" max="2323" width="10" style="3253" customWidth="1"/>
    <col min="2324" max="2324" width="26.1640625" style="3253" customWidth="1"/>
    <col min="2325" max="2560" width="8.83203125" style="3253"/>
    <col min="2561" max="2561" width="9.5" style="3253" customWidth="1"/>
    <col min="2562" max="2562" width="8.83203125" style="3253"/>
    <col min="2563" max="2565" width="12.83203125" style="3253" customWidth="1"/>
    <col min="2566" max="2566" width="47.5" style="3253" customWidth="1"/>
    <col min="2567" max="2567" width="13" style="3253" customWidth="1"/>
    <col min="2568" max="2569" width="8.83203125" style="3253"/>
    <col min="2570" max="2570" width="5.6640625" style="3253" customWidth="1"/>
    <col min="2571" max="2571" width="11.6640625" style="3253" customWidth="1"/>
    <col min="2572" max="2573" width="10.6640625" style="3253" customWidth="1"/>
    <col min="2574" max="2574" width="10" style="3253" customWidth="1"/>
    <col min="2575" max="2576" width="10.5" style="3253" bestFit="1" customWidth="1"/>
    <col min="2577" max="2577" width="10" style="3253" customWidth="1"/>
    <col min="2578" max="2578" width="10.1640625" style="3253" customWidth="1"/>
    <col min="2579" max="2579" width="10" style="3253" customWidth="1"/>
    <col min="2580" max="2580" width="26.1640625" style="3253" customWidth="1"/>
    <col min="2581" max="2816" width="8.83203125" style="3253"/>
    <col min="2817" max="2817" width="9.5" style="3253" customWidth="1"/>
    <col min="2818" max="2818" width="8.83203125" style="3253"/>
    <col min="2819" max="2821" width="12.83203125" style="3253" customWidth="1"/>
    <col min="2822" max="2822" width="47.5" style="3253" customWidth="1"/>
    <col min="2823" max="2823" width="13" style="3253" customWidth="1"/>
    <col min="2824" max="2825" width="8.83203125" style="3253"/>
    <col min="2826" max="2826" width="5.6640625" style="3253" customWidth="1"/>
    <col min="2827" max="2827" width="11.6640625" style="3253" customWidth="1"/>
    <col min="2828" max="2829" width="10.6640625" style="3253" customWidth="1"/>
    <col min="2830" max="2830" width="10" style="3253" customWidth="1"/>
    <col min="2831" max="2832" width="10.5" style="3253" bestFit="1" customWidth="1"/>
    <col min="2833" max="2833" width="10" style="3253" customWidth="1"/>
    <col min="2834" max="2834" width="10.1640625" style="3253" customWidth="1"/>
    <col min="2835" max="2835" width="10" style="3253" customWidth="1"/>
    <col min="2836" max="2836" width="26.1640625" style="3253" customWidth="1"/>
    <col min="2837" max="3072" width="8.83203125" style="3253"/>
    <col min="3073" max="3073" width="9.5" style="3253" customWidth="1"/>
    <col min="3074" max="3074" width="8.83203125" style="3253"/>
    <col min="3075" max="3077" width="12.83203125" style="3253" customWidth="1"/>
    <col min="3078" max="3078" width="47.5" style="3253" customWidth="1"/>
    <col min="3079" max="3079" width="13" style="3253" customWidth="1"/>
    <col min="3080" max="3081" width="8.83203125" style="3253"/>
    <col min="3082" max="3082" width="5.6640625" style="3253" customWidth="1"/>
    <col min="3083" max="3083" width="11.6640625" style="3253" customWidth="1"/>
    <col min="3084" max="3085" width="10.6640625" style="3253" customWidth="1"/>
    <col min="3086" max="3086" width="10" style="3253" customWidth="1"/>
    <col min="3087" max="3088" width="10.5" style="3253" bestFit="1" customWidth="1"/>
    <col min="3089" max="3089" width="10" style="3253" customWidth="1"/>
    <col min="3090" max="3090" width="10.1640625" style="3253" customWidth="1"/>
    <col min="3091" max="3091" width="10" style="3253" customWidth="1"/>
    <col min="3092" max="3092" width="26.1640625" style="3253" customWidth="1"/>
    <col min="3093" max="3328" width="8.83203125" style="3253"/>
    <col min="3329" max="3329" width="9.5" style="3253" customWidth="1"/>
    <col min="3330" max="3330" width="8.83203125" style="3253"/>
    <col min="3331" max="3333" width="12.83203125" style="3253" customWidth="1"/>
    <col min="3334" max="3334" width="47.5" style="3253" customWidth="1"/>
    <col min="3335" max="3335" width="13" style="3253" customWidth="1"/>
    <col min="3336" max="3337" width="8.83203125" style="3253"/>
    <col min="3338" max="3338" width="5.6640625" style="3253" customWidth="1"/>
    <col min="3339" max="3339" width="11.6640625" style="3253" customWidth="1"/>
    <col min="3340" max="3341" width="10.6640625" style="3253" customWidth="1"/>
    <col min="3342" max="3342" width="10" style="3253" customWidth="1"/>
    <col min="3343" max="3344" width="10.5" style="3253" bestFit="1" customWidth="1"/>
    <col min="3345" max="3345" width="10" style="3253" customWidth="1"/>
    <col min="3346" max="3346" width="10.1640625" style="3253" customWidth="1"/>
    <col min="3347" max="3347" width="10" style="3253" customWidth="1"/>
    <col min="3348" max="3348" width="26.1640625" style="3253" customWidth="1"/>
    <col min="3349" max="3584" width="8.83203125" style="3253"/>
    <col min="3585" max="3585" width="9.5" style="3253" customWidth="1"/>
    <col min="3586" max="3586" width="8.83203125" style="3253"/>
    <col min="3587" max="3589" width="12.83203125" style="3253" customWidth="1"/>
    <col min="3590" max="3590" width="47.5" style="3253" customWidth="1"/>
    <col min="3591" max="3591" width="13" style="3253" customWidth="1"/>
    <col min="3592" max="3593" width="8.83203125" style="3253"/>
    <col min="3594" max="3594" width="5.6640625" style="3253" customWidth="1"/>
    <col min="3595" max="3595" width="11.6640625" style="3253" customWidth="1"/>
    <col min="3596" max="3597" width="10.6640625" style="3253" customWidth="1"/>
    <col min="3598" max="3598" width="10" style="3253" customWidth="1"/>
    <col min="3599" max="3600" width="10.5" style="3253" bestFit="1" customWidth="1"/>
    <col min="3601" max="3601" width="10" style="3253" customWidth="1"/>
    <col min="3602" max="3602" width="10.1640625" style="3253" customWidth="1"/>
    <col min="3603" max="3603" width="10" style="3253" customWidth="1"/>
    <col min="3604" max="3604" width="26.1640625" style="3253" customWidth="1"/>
    <col min="3605" max="3840" width="8.83203125" style="3253"/>
    <col min="3841" max="3841" width="9.5" style="3253" customWidth="1"/>
    <col min="3842" max="3842" width="8.83203125" style="3253"/>
    <col min="3843" max="3845" width="12.83203125" style="3253" customWidth="1"/>
    <col min="3846" max="3846" width="47.5" style="3253" customWidth="1"/>
    <col min="3847" max="3847" width="13" style="3253" customWidth="1"/>
    <col min="3848" max="3849" width="8.83203125" style="3253"/>
    <col min="3850" max="3850" width="5.6640625" style="3253" customWidth="1"/>
    <col min="3851" max="3851" width="11.6640625" style="3253" customWidth="1"/>
    <col min="3852" max="3853" width="10.6640625" style="3253" customWidth="1"/>
    <col min="3854" max="3854" width="10" style="3253" customWidth="1"/>
    <col min="3855" max="3856" width="10.5" style="3253" bestFit="1" customWidth="1"/>
    <col min="3857" max="3857" width="10" style="3253" customWidth="1"/>
    <col min="3858" max="3858" width="10.1640625" style="3253" customWidth="1"/>
    <col min="3859" max="3859" width="10" style="3253" customWidth="1"/>
    <col min="3860" max="3860" width="26.1640625" style="3253" customWidth="1"/>
    <col min="3861" max="4096" width="8.83203125" style="3253"/>
    <col min="4097" max="4097" width="9.5" style="3253" customWidth="1"/>
    <col min="4098" max="4098" width="8.83203125" style="3253"/>
    <col min="4099" max="4101" width="12.83203125" style="3253" customWidth="1"/>
    <col min="4102" max="4102" width="47.5" style="3253" customWidth="1"/>
    <col min="4103" max="4103" width="13" style="3253" customWidth="1"/>
    <col min="4104" max="4105" width="8.83203125" style="3253"/>
    <col min="4106" max="4106" width="5.6640625" style="3253" customWidth="1"/>
    <col min="4107" max="4107" width="11.6640625" style="3253" customWidth="1"/>
    <col min="4108" max="4109" width="10.6640625" style="3253" customWidth="1"/>
    <col min="4110" max="4110" width="10" style="3253" customWidth="1"/>
    <col min="4111" max="4112" width="10.5" style="3253" bestFit="1" customWidth="1"/>
    <col min="4113" max="4113" width="10" style="3253" customWidth="1"/>
    <col min="4114" max="4114" width="10.1640625" style="3253" customWidth="1"/>
    <col min="4115" max="4115" width="10" style="3253" customWidth="1"/>
    <col min="4116" max="4116" width="26.1640625" style="3253" customWidth="1"/>
    <col min="4117" max="4352" width="8.83203125" style="3253"/>
    <col min="4353" max="4353" width="9.5" style="3253" customWidth="1"/>
    <col min="4354" max="4354" width="8.83203125" style="3253"/>
    <col min="4355" max="4357" width="12.83203125" style="3253" customWidth="1"/>
    <col min="4358" max="4358" width="47.5" style="3253" customWidth="1"/>
    <col min="4359" max="4359" width="13" style="3253" customWidth="1"/>
    <col min="4360" max="4361" width="8.83203125" style="3253"/>
    <col min="4362" max="4362" width="5.6640625" style="3253" customWidth="1"/>
    <col min="4363" max="4363" width="11.6640625" style="3253" customWidth="1"/>
    <col min="4364" max="4365" width="10.6640625" style="3253" customWidth="1"/>
    <col min="4366" max="4366" width="10" style="3253" customWidth="1"/>
    <col min="4367" max="4368" width="10.5" style="3253" bestFit="1" customWidth="1"/>
    <col min="4369" max="4369" width="10" style="3253" customWidth="1"/>
    <col min="4370" max="4370" width="10.1640625" style="3253" customWidth="1"/>
    <col min="4371" max="4371" width="10" style="3253" customWidth="1"/>
    <col min="4372" max="4372" width="26.1640625" style="3253" customWidth="1"/>
    <col min="4373" max="4608" width="8.83203125" style="3253"/>
    <col min="4609" max="4609" width="9.5" style="3253" customWidth="1"/>
    <col min="4610" max="4610" width="8.83203125" style="3253"/>
    <col min="4611" max="4613" width="12.83203125" style="3253" customWidth="1"/>
    <col min="4614" max="4614" width="47.5" style="3253" customWidth="1"/>
    <col min="4615" max="4615" width="13" style="3253" customWidth="1"/>
    <col min="4616" max="4617" width="8.83203125" style="3253"/>
    <col min="4618" max="4618" width="5.6640625" style="3253" customWidth="1"/>
    <col min="4619" max="4619" width="11.6640625" style="3253" customWidth="1"/>
    <col min="4620" max="4621" width="10.6640625" style="3253" customWidth="1"/>
    <col min="4622" max="4622" width="10" style="3253" customWidth="1"/>
    <col min="4623" max="4624" width="10.5" style="3253" bestFit="1" customWidth="1"/>
    <col min="4625" max="4625" width="10" style="3253" customWidth="1"/>
    <col min="4626" max="4626" width="10.1640625" style="3253" customWidth="1"/>
    <col min="4627" max="4627" width="10" style="3253" customWidth="1"/>
    <col min="4628" max="4628" width="26.1640625" style="3253" customWidth="1"/>
    <col min="4629" max="4864" width="8.83203125" style="3253"/>
    <col min="4865" max="4865" width="9.5" style="3253" customWidth="1"/>
    <col min="4866" max="4866" width="8.83203125" style="3253"/>
    <col min="4867" max="4869" width="12.83203125" style="3253" customWidth="1"/>
    <col min="4870" max="4870" width="47.5" style="3253" customWidth="1"/>
    <col min="4871" max="4871" width="13" style="3253" customWidth="1"/>
    <col min="4872" max="4873" width="8.83203125" style="3253"/>
    <col min="4874" max="4874" width="5.6640625" style="3253" customWidth="1"/>
    <col min="4875" max="4875" width="11.6640625" style="3253" customWidth="1"/>
    <col min="4876" max="4877" width="10.6640625" style="3253" customWidth="1"/>
    <col min="4878" max="4878" width="10" style="3253" customWidth="1"/>
    <col min="4879" max="4880" width="10.5" style="3253" bestFit="1" customWidth="1"/>
    <col min="4881" max="4881" width="10" style="3253" customWidth="1"/>
    <col min="4882" max="4882" width="10.1640625" style="3253" customWidth="1"/>
    <col min="4883" max="4883" width="10" style="3253" customWidth="1"/>
    <col min="4884" max="4884" width="26.1640625" style="3253" customWidth="1"/>
    <col min="4885" max="5120" width="8.83203125" style="3253"/>
    <col min="5121" max="5121" width="9.5" style="3253" customWidth="1"/>
    <col min="5122" max="5122" width="8.83203125" style="3253"/>
    <col min="5123" max="5125" width="12.83203125" style="3253" customWidth="1"/>
    <col min="5126" max="5126" width="47.5" style="3253" customWidth="1"/>
    <col min="5127" max="5127" width="13" style="3253" customWidth="1"/>
    <col min="5128" max="5129" width="8.83203125" style="3253"/>
    <col min="5130" max="5130" width="5.6640625" style="3253" customWidth="1"/>
    <col min="5131" max="5131" width="11.6640625" style="3253" customWidth="1"/>
    <col min="5132" max="5133" width="10.6640625" style="3253" customWidth="1"/>
    <col min="5134" max="5134" width="10" style="3253" customWidth="1"/>
    <col min="5135" max="5136" width="10.5" style="3253" bestFit="1" customWidth="1"/>
    <col min="5137" max="5137" width="10" style="3253" customWidth="1"/>
    <col min="5138" max="5138" width="10.1640625" style="3253" customWidth="1"/>
    <col min="5139" max="5139" width="10" style="3253" customWidth="1"/>
    <col min="5140" max="5140" width="26.1640625" style="3253" customWidth="1"/>
    <col min="5141" max="5376" width="8.83203125" style="3253"/>
    <col min="5377" max="5377" width="9.5" style="3253" customWidth="1"/>
    <col min="5378" max="5378" width="8.83203125" style="3253"/>
    <col min="5379" max="5381" width="12.83203125" style="3253" customWidth="1"/>
    <col min="5382" max="5382" width="47.5" style="3253" customWidth="1"/>
    <col min="5383" max="5383" width="13" style="3253" customWidth="1"/>
    <col min="5384" max="5385" width="8.83203125" style="3253"/>
    <col min="5386" max="5386" width="5.6640625" style="3253" customWidth="1"/>
    <col min="5387" max="5387" width="11.6640625" style="3253" customWidth="1"/>
    <col min="5388" max="5389" width="10.6640625" style="3253" customWidth="1"/>
    <col min="5390" max="5390" width="10" style="3253" customWidth="1"/>
    <col min="5391" max="5392" width="10.5" style="3253" bestFit="1" customWidth="1"/>
    <col min="5393" max="5393" width="10" style="3253" customWidth="1"/>
    <col min="5394" max="5394" width="10.1640625" style="3253" customWidth="1"/>
    <col min="5395" max="5395" width="10" style="3253" customWidth="1"/>
    <col min="5396" max="5396" width="26.1640625" style="3253" customWidth="1"/>
    <col min="5397" max="5632" width="8.83203125" style="3253"/>
    <col min="5633" max="5633" width="9.5" style="3253" customWidth="1"/>
    <col min="5634" max="5634" width="8.83203125" style="3253"/>
    <col min="5635" max="5637" width="12.83203125" style="3253" customWidth="1"/>
    <col min="5638" max="5638" width="47.5" style="3253" customWidth="1"/>
    <col min="5639" max="5639" width="13" style="3253" customWidth="1"/>
    <col min="5640" max="5641" width="8.83203125" style="3253"/>
    <col min="5642" max="5642" width="5.6640625" style="3253" customWidth="1"/>
    <col min="5643" max="5643" width="11.6640625" style="3253" customWidth="1"/>
    <col min="5644" max="5645" width="10.6640625" style="3253" customWidth="1"/>
    <col min="5646" max="5646" width="10" style="3253" customWidth="1"/>
    <col min="5647" max="5648" width="10.5" style="3253" bestFit="1" customWidth="1"/>
    <col min="5649" max="5649" width="10" style="3253" customWidth="1"/>
    <col min="5650" max="5650" width="10.1640625" style="3253" customWidth="1"/>
    <col min="5651" max="5651" width="10" style="3253" customWidth="1"/>
    <col min="5652" max="5652" width="26.1640625" style="3253" customWidth="1"/>
    <col min="5653" max="5888" width="8.83203125" style="3253"/>
    <col min="5889" max="5889" width="9.5" style="3253" customWidth="1"/>
    <col min="5890" max="5890" width="8.83203125" style="3253"/>
    <col min="5891" max="5893" width="12.83203125" style="3253" customWidth="1"/>
    <col min="5894" max="5894" width="47.5" style="3253" customWidth="1"/>
    <col min="5895" max="5895" width="13" style="3253" customWidth="1"/>
    <col min="5896" max="5897" width="8.83203125" style="3253"/>
    <col min="5898" max="5898" width="5.6640625" style="3253" customWidth="1"/>
    <col min="5899" max="5899" width="11.6640625" style="3253" customWidth="1"/>
    <col min="5900" max="5901" width="10.6640625" style="3253" customWidth="1"/>
    <col min="5902" max="5902" width="10" style="3253" customWidth="1"/>
    <col min="5903" max="5904" width="10.5" style="3253" bestFit="1" customWidth="1"/>
    <col min="5905" max="5905" width="10" style="3253" customWidth="1"/>
    <col min="5906" max="5906" width="10.1640625" style="3253" customWidth="1"/>
    <col min="5907" max="5907" width="10" style="3253" customWidth="1"/>
    <col min="5908" max="5908" width="26.1640625" style="3253" customWidth="1"/>
    <col min="5909" max="6144" width="8.83203125" style="3253"/>
    <col min="6145" max="6145" width="9.5" style="3253" customWidth="1"/>
    <col min="6146" max="6146" width="8.83203125" style="3253"/>
    <col min="6147" max="6149" width="12.83203125" style="3253" customWidth="1"/>
    <col min="6150" max="6150" width="47.5" style="3253" customWidth="1"/>
    <col min="6151" max="6151" width="13" style="3253" customWidth="1"/>
    <col min="6152" max="6153" width="8.83203125" style="3253"/>
    <col min="6154" max="6154" width="5.6640625" style="3253" customWidth="1"/>
    <col min="6155" max="6155" width="11.6640625" style="3253" customWidth="1"/>
    <col min="6156" max="6157" width="10.6640625" style="3253" customWidth="1"/>
    <col min="6158" max="6158" width="10" style="3253" customWidth="1"/>
    <col min="6159" max="6160" width="10.5" style="3253" bestFit="1" customWidth="1"/>
    <col min="6161" max="6161" width="10" style="3253" customWidth="1"/>
    <col min="6162" max="6162" width="10.1640625" style="3253" customWidth="1"/>
    <col min="6163" max="6163" width="10" style="3253" customWidth="1"/>
    <col min="6164" max="6164" width="26.1640625" style="3253" customWidth="1"/>
    <col min="6165" max="6400" width="8.83203125" style="3253"/>
    <col min="6401" max="6401" width="9.5" style="3253" customWidth="1"/>
    <col min="6402" max="6402" width="8.83203125" style="3253"/>
    <col min="6403" max="6405" width="12.83203125" style="3253" customWidth="1"/>
    <col min="6406" max="6406" width="47.5" style="3253" customWidth="1"/>
    <col min="6407" max="6407" width="13" style="3253" customWidth="1"/>
    <col min="6408" max="6409" width="8.83203125" style="3253"/>
    <col min="6410" max="6410" width="5.6640625" style="3253" customWidth="1"/>
    <col min="6411" max="6411" width="11.6640625" style="3253" customWidth="1"/>
    <col min="6412" max="6413" width="10.6640625" style="3253" customWidth="1"/>
    <col min="6414" max="6414" width="10" style="3253" customWidth="1"/>
    <col min="6415" max="6416" width="10.5" style="3253" bestFit="1" customWidth="1"/>
    <col min="6417" max="6417" width="10" style="3253" customWidth="1"/>
    <col min="6418" max="6418" width="10.1640625" style="3253" customWidth="1"/>
    <col min="6419" max="6419" width="10" style="3253" customWidth="1"/>
    <col min="6420" max="6420" width="26.1640625" style="3253" customWidth="1"/>
    <col min="6421" max="6656" width="8.83203125" style="3253"/>
    <col min="6657" max="6657" width="9.5" style="3253" customWidth="1"/>
    <col min="6658" max="6658" width="8.83203125" style="3253"/>
    <col min="6659" max="6661" width="12.83203125" style="3253" customWidth="1"/>
    <col min="6662" max="6662" width="47.5" style="3253" customWidth="1"/>
    <col min="6663" max="6663" width="13" style="3253" customWidth="1"/>
    <col min="6664" max="6665" width="8.83203125" style="3253"/>
    <col min="6666" max="6666" width="5.6640625" style="3253" customWidth="1"/>
    <col min="6667" max="6667" width="11.6640625" style="3253" customWidth="1"/>
    <col min="6668" max="6669" width="10.6640625" style="3253" customWidth="1"/>
    <col min="6670" max="6670" width="10" style="3253" customWidth="1"/>
    <col min="6671" max="6672" width="10.5" style="3253" bestFit="1" customWidth="1"/>
    <col min="6673" max="6673" width="10" style="3253" customWidth="1"/>
    <col min="6674" max="6674" width="10.1640625" style="3253" customWidth="1"/>
    <col min="6675" max="6675" width="10" style="3253" customWidth="1"/>
    <col min="6676" max="6676" width="26.1640625" style="3253" customWidth="1"/>
    <col min="6677" max="6912" width="8.83203125" style="3253"/>
    <col min="6913" max="6913" width="9.5" style="3253" customWidth="1"/>
    <col min="6914" max="6914" width="8.83203125" style="3253"/>
    <col min="6915" max="6917" width="12.83203125" style="3253" customWidth="1"/>
    <col min="6918" max="6918" width="47.5" style="3253" customWidth="1"/>
    <col min="6919" max="6919" width="13" style="3253" customWidth="1"/>
    <col min="6920" max="6921" width="8.83203125" style="3253"/>
    <col min="6922" max="6922" width="5.6640625" style="3253" customWidth="1"/>
    <col min="6923" max="6923" width="11.6640625" style="3253" customWidth="1"/>
    <col min="6924" max="6925" width="10.6640625" style="3253" customWidth="1"/>
    <col min="6926" max="6926" width="10" style="3253" customWidth="1"/>
    <col min="6927" max="6928" width="10.5" style="3253" bestFit="1" customWidth="1"/>
    <col min="6929" max="6929" width="10" style="3253" customWidth="1"/>
    <col min="6930" max="6930" width="10.1640625" style="3253" customWidth="1"/>
    <col min="6931" max="6931" width="10" style="3253" customWidth="1"/>
    <col min="6932" max="6932" width="26.1640625" style="3253" customWidth="1"/>
    <col min="6933" max="7168" width="8.83203125" style="3253"/>
    <col min="7169" max="7169" width="9.5" style="3253" customWidth="1"/>
    <col min="7170" max="7170" width="8.83203125" style="3253"/>
    <col min="7171" max="7173" width="12.83203125" style="3253" customWidth="1"/>
    <col min="7174" max="7174" width="47.5" style="3253" customWidth="1"/>
    <col min="7175" max="7175" width="13" style="3253" customWidth="1"/>
    <col min="7176" max="7177" width="8.83203125" style="3253"/>
    <col min="7178" max="7178" width="5.6640625" style="3253" customWidth="1"/>
    <col min="7179" max="7179" width="11.6640625" style="3253" customWidth="1"/>
    <col min="7180" max="7181" width="10.6640625" style="3253" customWidth="1"/>
    <col min="7182" max="7182" width="10" style="3253" customWidth="1"/>
    <col min="7183" max="7184" width="10.5" style="3253" bestFit="1" customWidth="1"/>
    <col min="7185" max="7185" width="10" style="3253" customWidth="1"/>
    <col min="7186" max="7186" width="10.1640625" style="3253" customWidth="1"/>
    <col min="7187" max="7187" width="10" style="3253" customWidth="1"/>
    <col min="7188" max="7188" width="26.1640625" style="3253" customWidth="1"/>
    <col min="7189" max="7424" width="8.83203125" style="3253"/>
    <col min="7425" max="7425" width="9.5" style="3253" customWidth="1"/>
    <col min="7426" max="7426" width="8.83203125" style="3253"/>
    <col min="7427" max="7429" width="12.83203125" style="3253" customWidth="1"/>
    <col min="7430" max="7430" width="47.5" style="3253" customWidth="1"/>
    <col min="7431" max="7431" width="13" style="3253" customWidth="1"/>
    <col min="7432" max="7433" width="8.83203125" style="3253"/>
    <col min="7434" max="7434" width="5.6640625" style="3253" customWidth="1"/>
    <col min="7435" max="7435" width="11.6640625" style="3253" customWidth="1"/>
    <col min="7436" max="7437" width="10.6640625" style="3253" customWidth="1"/>
    <col min="7438" max="7438" width="10" style="3253" customWidth="1"/>
    <col min="7439" max="7440" width="10.5" style="3253" bestFit="1" customWidth="1"/>
    <col min="7441" max="7441" width="10" style="3253" customWidth="1"/>
    <col min="7442" max="7442" width="10.1640625" style="3253" customWidth="1"/>
    <col min="7443" max="7443" width="10" style="3253" customWidth="1"/>
    <col min="7444" max="7444" width="26.1640625" style="3253" customWidth="1"/>
    <col min="7445" max="7680" width="8.83203125" style="3253"/>
    <col min="7681" max="7681" width="9.5" style="3253" customWidth="1"/>
    <col min="7682" max="7682" width="8.83203125" style="3253"/>
    <col min="7683" max="7685" width="12.83203125" style="3253" customWidth="1"/>
    <col min="7686" max="7686" width="47.5" style="3253" customWidth="1"/>
    <col min="7687" max="7687" width="13" style="3253" customWidth="1"/>
    <col min="7688" max="7689" width="8.83203125" style="3253"/>
    <col min="7690" max="7690" width="5.6640625" style="3253" customWidth="1"/>
    <col min="7691" max="7691" width="11.6640625" style="3253" customWidth="1"/>
    <col min="7692" max="7693" width="10.6640625" style="3253" customWidth="1"/>
    <col min="7694" max="7694" width="10" style="3253" customWidth="1"/>
    <col min="7695" max="7696" width="10.5" style="3253" bestFit="1" customWidth="1"/>
    <col min="7697" max="7697" width="10" style="3253" customWidth="1"/>
    <col min="7698" max="7698" width="10.1640625" style="3253" customWidth="1"/>
    <col min="7699" max="7699" width="10" style="3253" customWidth="1"/>
    <col min="7700" max="7700" width="26.1640625" style="3253" customWidth="1"/>
    <col min="7701" max="7936" width="8.83203125" style="3253"/>
    <col min="7937" max="7937" width="9.5" style="3253" customWidth="1"/>
    <col min="7938" max="7938" width="8.83203125" style="3253"/>
    <col min="7939" max="7941" width="12.83203125" style="3253" customWidth="1"/>
    <col min="7942" max="7942" width="47.5" style="3253" customWidth="1"/>
    <col min="7943" max="7943" width="13" style="3253" customWidth="1"/>
    <col min="7944" max="7945" width="8.83203125" style="3253"/>
    <col min="7946" max="7946" width="5.6640625" style="3253" customWidth="1"/>
    <col min="7947" max="7947" width="11.6640625" style="3253" customWidth="1"/>
    <col min="7948" max="7949" width="10.6640625" style="3253" customWidth="1"/>
    <col min="7950" max="7950" width="10" style="3253" customWidth="1"/>
    <col min="7951" max="7952" width="10.5" style="3253" bestFit="1" customWidth="1"/>
    <col min="7953" max="7953" width="10" style="3253" customWidth="1"/>
    <col min="7954" max="7954" width="10.1640625" style="3253" customWidth="1"/>
    <col min="7955" max="7955" width="10" style="3253" customWidth="1"/>
    <col min="7956" max="7956" width="26.1640625" style="3253" customWidth="1"/>
    <col min="7957" max="8192" width="8.83203125" style="3253"/>
    <col min="8193" max="8193" width="9.5" style="3253" customWidth="1"/>
    <col min="8194" max="8194" width="8.83203125" style="3253"/>
    <col min="8195" max="8197" width="12.83203125" style="3253" customWidth="1"/>
    <col min="8198" max="8198" width="47.5" style="3253" customWidth="1"/>
    <col min="8199" max="8199" width="13" style="3253" customWidth="1"/>
    <col min="8200" max="8201" width="8.83203125" style="3253"/>
    <col min="8202" max="8202" width="5.6640625" style="3253" customWidth="1"/>
    <col min="8203" max="8203" width="11.6640625" style="3253" customWidth="1"/>
    <col min="8204" max="8205" width="10.6640625" style="3253" customWidth="1"/>
    <col min="8206" max="8206" width="10" style="3253" customWidth="1"/>
    <col min="8207" max="8208" width="10.5" style="3253" bestFit="1" customWidth="1"/>
    <col min="8209" max="8209" width="10" style="3253" customWidth="1"/>
    <col min="8210" max="8210" width="10.1640625" style="3253" customWidth="1"/>
    <col min="8211" max="8211" width="10" style="3253" customWidth="1"/>
    <col min="8212" max="8212" width="26.1640625" style="3253" customWidth="1"/>
    <col min="8213" max="8448" width="8.83203125" style="3253"/>
    <col min="8449" max="8449" width="9.5" style="3253" customWidth="1"/>
    <col min="8450" max="8450" width="8.83203125" style="3253"/>
    <col min="8451" max="8453" width="12.83203125" style="3253" customWidth="1"/>
    <col min="8454" max="8454" width="47.5" style="3253" customWidth="1"/>
    <col min="8455" max="8455" width="13" style="3253" customWidth="1"/>
    <col min="8456" max="8457" width="8.83203125" style="3253"/>
    <col min="8458" max="8458" width="5.6640625" style="3253" customWidth="1"/>
    <col min="8459" max="8459" width="11.6640625" style="3253" customWidth="1"/>
    <col min="8460" max="8461" width="10.6640625" style="3253" customWidth="1"/>
    <col min="8462" max="8462" width="10" style="3253" customWidth="1"/>
    <col min="8463" max="8464" width="10.5" style="3253" bestFit="1" customWidth="1"/>
    <col min="8465" max="8465" width="10" style="3253" customWidth="1"/>
    <col min="8466" max="8466" width="10.1640625" style="3253" customWidth="1"/>
    <col min="8467" max="8467" width="10" style="3253" customWidth="1"/>
    <col min="8468" max="8468" width="26.1640625" style="3253" customWidth="1"/>
    <col min="8469" max="8704" width="8.83203125" style="3253"/>
    <col min="8705" max="8705" width="9.5" style="3253" customWidth="1"/>
    <col min="8706" max="8706" width="8.83203125" style="3253"/>
    <col min="8707" max="8709" width="12.83203125" style="3253" customWidth="1"/>
    <col min="8710" max="8710" width="47.5" style="3253" customWidth="1"/>
    <col min="8711" max="8711" width="13" style="3253" customWidth="1"/>
    <col min="8712" max="8713" width="8.83203125" style="3253"/>
    <col min="8714" max="8714" width="5.6640625" style="3253" customWidth="1"/>
    <col min="8715" max="8715" width="11.6640625" style="3253" customWidth="1"/>
    <col min="8716" max="8717" width="10.6640625" style="3253" customWidth="1"/>
    <col min="8718" max="8718" width="10" style="3253" customWidth="1"/>
    <col min="8719" max="8720" width="10.5" style="3253" bestFit="1" customWidth="1"/>
    <col min="8721" max="8721" width="10" style="3253" customWidth="1"/>
    <col min="8722" max="8722" width="10.1640625" style="3253" customWidth="1"/>
    <col min="8723" max="8723" width="10" style="3253" customWidth="1"/>
    <col min="8724" max="8724" width="26.1640625" style="3253" customWidth="1"/>
    <col min="8725" max="8960" width="8.83203125" style="3253"/>
    <col min="8961" max="8961" width="9.5" style="3253" customWidth="1"/>
    <col min="8962" max="8962" width="8.83203125" style="3253"/>
    <col min="8963" max="8965" width="12.83203125" style="3253" customWidth="1"/>
    <col min="8966" max="8966" width="47.5" style="3253" customWidth="1"/>
    <col min="8967" max="8967" width="13" style="3253" customWidth="1"/>
    <col min="8968" max="8969" width="8.83203125" style="3253"/>
    <col min="8970" max="8970" width="5.6640625" style="3253" customWidth="1"/>
    <col min="8971" max="8971" width="11.6640625" style="3253" customWidth="1"/>
    <col min="8972" max="8973" width="10.6640625" style="3253" customWidth="1"/>
    <col min="8974" max="8974" width="10" style="3253" customWidth="1"/>
    <col min="8975" max="8976" width="10.5" style="3253" bestFit="1" customWidth="1"/>
    <col min="8977" max="8977" width="10" style="3253" customWidth="1"/>
    <col min="8978" max="8978" width="10.1640625" style="3253" customWidth="1"/>
    <col min="8979" max="8979" width="10" style="3253" customWidth="1"/>
    <col min="8980" max="8980" width="26.1640625" style="3253" customWidth="1"/>
    <col min="8981" max="9216" width="8.83203125" style="3253"/>
    <col min="9217" max="9217" width="9.5" style="3253" customWidth="1"/>
    <col min="9218" max="9218" width="8.83203125" style="3253"/>
    <col min="9219" max="9221" width="12.83203125" style="3253" customWidth="1"/>
    <col min="9222" max="9222" width="47.5" style="3253" customWidth="1"/>
    <col min="9223" max="9223" width="13" style="3253" customWidth="1"/>
    <col min="9224" max="9225" width="8.83203125" style="3253"/>
    <col min="9226" max="9226" width="5.6640625" style="3253" customWidth="1"/>
    <col min="9227" max="9227" width="11.6640625" style="3253" customWidth="1"/>
    <col min="9228" max="9229" width="10.6640625" style="3253" customWidth="1"/>
    <col min="9230" max="9230" width="10" style="3253" customWidth="1"/>
    <col min="9231" max="9232" width="10.5" style="3253" bestFit="1" customWidth="1"/>
    <col min="9233" max="9233" width="10" style="3253" customWidth="1"/>
    <col min="9234" max="9234" width="10.1640625" style="3253" customWidth="1"/>
    <col min="9235" max="9235" width="10" style="3253" customWidth="1"/>
    <col min="9236" max="9236" width="26.1640625" style="3253" customWidth="1"/>
    <col min="9237" max="9472" width="8.83203125" style="3253"/>
    <col min="9473" max="9473" width="9.5" style="3253" customWidth="1"/>
    <col min="9474" max="9474" width="8.83203125" style="3253"/>
    <col min="9475" max="9477" width="12.83203125" style="3253" customWidth="1"/>
    <col min="9478" max="9478" width="47.5" style="3253" customWidth="1"/>
    <col min="9479" max="9479" width="13" style="3253" customWidth="1"/>
    <col min="9480" max="9481" width="8.83203125" style="3253"/>
    <col min="9482" max="9482" width="5.6640625" style="3253" customWidth="1"/>
    <col min="9483" max="9483" width="11.6640625" style="3253" customWidth="1"/>
    <col min="9484" max="9485" width="10.6640625" style="3253" customWidth="1"/>
    <col min="9486" max="9486" width="10" style="3253" customWidth="1"/>
    <col min="9487" max="9488" width="10.5" style="3253" bestFit="1" customWidth="1"/>
    <col min="9489" max="9489" width="10" style="3253" customWidth="1"/>
    <col min="9490" max="9490" width="10.1640625" style="3253" customWidth="1"/>
    <col min="9491" max="9491" width="10" style="3253" customWidth="1"/>
    <col min="9492" max="9492" width="26.1640625" style="3253" customWidth="1"/>
    <col min="9493" max="9728" width="8.83203125" style="3253"/>
    <col min="9729" max="9729" width="9.5" style="3253" customWidth="1"/>
    <col min="9730" max="9730" width="8.83203125" style="3253"/>
    <col min="9731" max="9733" width="12.83203125" style="3253" customWidth="1"/>
    <col min="9734" max="9734" width="47.5" style="3253" customWidth="1"/>
    <col min="9735" max="9735" width="13" style="3253" customWidth="1"/>
    <col min="9736" max="9737" width="8.83203125" style="3253"/>
    <col min="9738" max="9738" width="5.6640625" style="3253" customWidth="1"/>
    <col min="9739" max="9739" width="11.6640625" style="3253" customWidth="1"/>
    <col min="9740" max="9741" width="10.6640625" style="3253" customWidth="1"/>
    <col min="9742" max="9742" width="10" style="3253" customWidth="1"/>
    <col min="9743" max="9744" width="10.5" style="3253" bestFit="1" customWidth="1"/>
    <col min="9745" max="9745" width="10" style="3253" customWidth="1"/>
    <col min="9746" max="9746" width="10.1640625" style="3253" customWidth="1"/>
    <col min="9747" max="9747" width="10" style="3253" customWidth="1"/>
    <col min="9748" max="9748" width="26.1640625" style="3253" customWidth="1"/>
    <col min="9749" max="9984" width="8.83203125" style="3253"/>
    <col min="9985" max="9985" width="9.5" style="3253" customWidth="1"/>
    <col min="9986" max="9986" width="8.83203125" style="3253"/>
    <col min="9987" max="9989" width="12.83203125" style="3253" customWidth="1"/>
    <col min="9990" max="9990" width="47.5" style="3253" customWidth="1"/>
    <col min="9991" max="9991" width="13" style="3253" customWidth="1"/>
    <col min="9992" max="9993" width="8.83203125" style="3253"/>
    <col min="9994" max="9994" width="5.6640625" style="3253" customWidth="1"/>
    <col min="9995" max="9995" width="11.6640625" style="3253" customWidth="1"/>
    <col min="9996" max="9997" width="10.6640625" style="3253" customWidth="1"/>
    <col min="9998" max="9998" width="10" style="3253" customWidth="1"/>
    <col min="9999" max="10000" width="10.5" style="3253" bestFit="1" customWidth="1"/>
    <col min="10001" max="10001" width="10" style="3253" customWidth="1"/>
    <col min="10002" max="10002" width="10.1640625" style="3253" customWidth="1"/>
    <col min="10003" max="10003" width="10" style="3253" customWidth="1"/>
    <col min="10004" max="10004" width="26.1640625" style="3253" customWidth="1"/>
    <col min="10005" max="10240" width="8.83203125" style="3253"/>
    <col min="10241" max="10241" width="9.5" style="3253" customWidth="1"/>
    <col min="10242" max="10242" width="8.83203125" style="3253"/>
    <col min="10243" max="10245" width="12.83203125" style="3253" customWidth="1"/>
    <col min="10246" max="10246" width="47.5" style="3253" customWidth="1"/>
    <col min="10247" max="10247" width="13" style="3253" customWidth="1"/>
    <col min="10248" max="10249" width="8.83203125" style="3253"/>
    <col min="10250" max="10250" width="5.6640625" style="3253" customWidth="1"/>
    <col min="10251" max="10251" width="11.6640625" style="3253" customWidth="1"/>
    <col min="10252" max="10253" width="10.6640625" style="3253" customWidth="1"/>
    <col min="10254" max="10254" width="10" style="3253" customWidth="1"/>
    <col min="10255" max="10256" width="10.5" style="3253" bestFit="1" customWidth="1"/>
    <col min="10257" max="10257" width="10" style="3253" customWidth="1"/>
    <col min="10258" max="10258" width="10.1640625" style="3253" customWidth="1"/>
    <col min="10259" max="10259" width="10" style="3253" customWidth="1"/>
    <col min="10260" max="10260" width="26.1640625" style="3253" customWidth="1"/>
    <col min="10261" max="10496" width="8.83203125" style="3253"/>
    <col min="10497" max="10497" width="9.5" style="3253" customWidth="1"/>
    <col min="10498" max="10498" width="8.83203125" style="3253"/>
    <col min="10499" max="10501" width="12.83203125" style="3253" customWidth="1"/>
    <col min="10502" max="10502" width="47.5" style="3253" customWidth="1"/>
    <col min="10503" max="10503" width="13" style="3253" customWidth="1"/>
    <col min="10504" max="10505" width="8.83203125" style="3253"/>
    <col min="10506" max="10506" width="5.6640625" style="3253" customWidth="1"/>
    <col min="10507" max="10507" width="11.6640625" style="3253" customWidth="1"/>
    <col min="10508" max="10509" width="10.6640625" style="3253" customWidth="1"/>
    <col min="10510" max="10510" width="10" style="3253" customWidth="1"/>
    <col min="10511" max="10512" width="10.5" style="3253" bestFit="1" customWidth="1"/>
    <col min="10513" max="10513" width="10" style="3253" customWidth="1"/>
    <col min="10514" max="10514" width="10.1640625" style="3253" customWidth="1"/>
    <col min="10515" max="10515" width="10" style="3253" customWidth="1"/>
    <col min="10516" max="10516" width="26.1640625" style="3253" customWidth="1"/>
    <col min="10517" max="10752" width="8.83203125" style="3253"/>
    <col min="10753" max="10753" width="9.5" style="3253" customWidth="1"/>
    <col min="10754" max="10754" width="8.83203125" style="3253"/>
    <col min="10755" max="10757" width="12.83203125" style="3253" customWidth="1"/>
    <col min="10758" max="10758" width="47.5" style="3253" customWidth="1"/>
    <col min="10759" max="10759" width="13" style="3253" customWidth="1"/>
    <col min="10760" max="10761" width="8.83203125" style="3253"/>
    <col min="10762" max="10762" width="5.6640625" style="3253" customWidth="1"/>
    <col min="10763" max="10763" width="11.6640625" style="3253" customWidth="1"/>
    <col min="10764" max="10765" width="10.6640625" style="3253" customWidth="1"/>
    <col min="10766" max="10766" width="10" style="3253" customWidth="1"/>
    <col min="10767" max="10768" width="10.5" style="3253" bestFit="1" customWidth="1"/>
    <col min="10769" max="10769" width="10" style="3253" customWidth="1"/>
    <col min="10770" max="10770" width="10.1640625" style="3253" customWidth="1"/>
    <col min="10771" max="10771" width="10" style="3253" customWidth="1"/>
    <col min="10772" max="10772" width="26.1640625" style="3253" customWidth="1"/>
    <col min="10773" max="11008" width="8.83203125" style="3253"/>
    <col min="11009" max="11009" width="9.5" style="3253" customWidth="1"/>
    <col min="11010" max="11010" width="8.83203125" style="3253"/>
    <col min="11011" max="11013" width="12.83203125" style="3253" customWidth="1"/>
    <col min="11014" max="11014" width="47.5" style="3253" customWidth="1"/>
    <col min="11015" max="11015" width="13" style="3253" customWidth="1"/>
    <col min="11016" max="11017" width="8.83203125" style="3253"/>
    <col min="11018" max="11018" width="5.6640625" style="3253" customWidth="1"/>
    <col min="11019" max="11019" width="11.6640625" style="3253" customWidth="1"/>
    <col min="11020" max="11021" width="10.6640625" style="3253" customWidth="1"/>
    <col min="11022" max="11022" width="10" style="3253" customWidth="1"/>
    <col min="11023" max="11024" width="10.5" style="3253" bestFit="1" customWidth="1"/>
    <col min="11025" max="11025" width="10" style="3253" customWidth="1"/>
    <col min="11026" max="11026" width="10.1640625" style="3253" customWidth="1"/>
    <col min="11027" max="11027" width="10" style="3253" customWidth="1"/>
    <col min="11028" max="11028" width="26.1640625" style="3253" customWidth="1"/>
    <col min="11029" max="11264" width="8.83203125" style="3253"/>
    <col min="11265" max="11265" width="9.5" style="3253" customWidth="1"/>
    <col min="11266" max="11266" width="8.83203125" style="3253"/>
    <col min="11267" max="11269" width="12.83203125" style="3253" customWidth="1"/>
    <col min="11270" max="11270" width="47.5" style="3253" customWidth="1"/>
    <col min="11271" max="11271" width="13" style="3253" customWidth="1"/>
    <col min="11272" max="11273" width="8.83203125" style="3253"/>
    <col min="11274" max="11274" width="5.6640625" style="3253" customWidth="1"/>
    <col min="11275" max="11275" width="11.6640625" style="3253" customWidth="1"/>
    <col min="11276" max="11277" width="10.6640625" style="3253" customWidth="1"/>
    <col min="11278" max="11278" width="10" style="3253" customWidth="1"/>
    <col min="11279" max="11280" width="10.5" style="3253" bestFit="1" customWidth="1"/>
    <col min="11281" max="11281" width="10" style="3253" customWidth="1"/>
    <col min="11282" max="11282" width="10.1640625" style="3253" customWidth="1"/>
    <col min="11283" max="11283" width="10" style="3253" customWidth="1"/>
    <col min="11284" max="11284" width="26.1640625" style="3253" customWidth="1"/>
    <col min="11285" max="11520" width="8.83203125" style="3253"/>
    <col min="11521" max="11521" width="9.5" style="3253" customWidth="1"/>
    <col min="11522" max="11522" width="8.83203125" style="3253"/>
    <col min="11523" max="11525" width="12.83203125" style="3253" customWidth="1"/>
    <col min="11526" max="11526" width="47.5" style="3253" customWidth="1"/>
    <col min="11527" max="11527" width="13" style="3253" customWidth="1"/>
    <col min="11528" max="11529" width="8.83203125" style="3253"/>
    <col min="11530" max="11530" width="5.6640625" style="3253" customWidth="1"/>
    <col min="11531" max="11531" width="11.6640625" style="3253" customWidth="1"/>
    <col min="11532" max="11533" width="10.6640625" style="3253" customWidth="1"/>
    <col min="11534" max="11534" width="10" style="3253" customWidth="1"/>
    <col min="11535" max="11536" width="10.5" style="3253" bestFit="1" customWidth="1"/>
    <col min="11537" max="11537" width="10" style="3253" customWidth="1"/>
    <col min="11538" max="11538" width="10.1640625" style="3253" customWidth="1"/>
    <col min="11539" max="11539" width="10" style="3253" customWidth="1"/>
    <col min="11540" max="11540" width="26.1640625" style="3253" customWidth="1"/>
    <col min="11541" max="11776" width="8.83203125" style="3253"/>
    <col min="11777" max="11777" width="9.5" style="3253" customWidth="1"/>
    <col min="11778" max="11778" width="8.83203125" style="3253"/>
    <col min="11779" max="11781" width="12.83203125" style="3253" customWidth="1"/>
    <col min="11782" max="11782" width="47.5" style="3253" customWidth="1"/>
    <col min="11783" max="11783" width="13" style="3253" customWidth="1"/>
    <col min="11784" max="11785" width="8.83203125" style="3253"/>
    <col min="11786" max="11786" width="5.6640625" style="3253" customWidth="1"/>
    <col min="11787" max="11787" width="11.6640625" style="3253" customWidth="1"/>
    <col min="11788" max="11789" width="10.6640625" style="3253" customWidth="1"/>
    <col min="11790" max="11790" width="10" style="3253" customWidth="1"/>
    <col min="11791" max="11792" width="10.5" style="3253" bestFit="1" customWidth="1"/>
    <col min="11793" max="11793" width="10" style="3253" customWidth="1"/>
    <col min="11794" max="11794" width="10.1640625" style="3253" customWidth="1"/>
    <col min="11795" max="11795" width="10" style="3253" customWidth="1"/>
    <col min="11796" max="11796" width="26.1640625" style="3253" customWidth="1"/>
    <col min="11797" max="12032" width="8.83203125" style="3253"/>
    <col min="12033" max="12033" width="9.5" style="3253" customWidth="1"/>
    <col min="12034" max="12034" width="8.83203125" style="3253"/>
    <col min="12035" max="12037" width="12.83203125" style="3253" customWidth="1"/>
    <col min="12038" max="12038" width="47.5" style="3253" customWidth="1"/>
    <col min="12039" max="12039" width="13" style="3253" customWidth="1"/>
    <col min="12040" max="12041" width="8.83203125" style="3253"/>
    <col min="12042" max="12042" width="5.6640625" style="3253" customWidth="1"/>
    <col min="12043" max="12043" width="11.6640625" style="3253" customWidth="1"/>
    <col min="12044" max="12045" width="10.6640625" style="3253" customWidth="1"/>
    <col min="12046" max="12046" width="10" style="3253" customWidth="1"/>
    <col min="12047" max="12048" width="10.5" style="3253" bestFit="1" customWidth="1"/>
    <col min="12049" max="12049" width="10" style="3253" customWidth="1"/>
    <col min="12050" max="12050" width="10.1640625" style="3253" customWidth="1"/>
    <col min="12051" max="12051" width="10" style="3253" customWidth="1"/>
    <col min="12052" max="12052" width="26.1640625" style="3253" customWidth="1"/>
    <col min="12053" max="12288" width="8.83203125" style="3253"/>
    <col min="12289" max="12289" width="9.5" style="3253" customWidth="1"/>
    <col min="12290" max="12290" width="8.83203125" style="3253"/>
    <col min="12291" max="12293" width="12.83203125" style="3253" customWidth="1"/>
    <col min="12294" max="12294" width="47.5" style="3253" customWidth="1"/>
    <col min="12295" max="12295" width="13" style="3253" customWidth="1"/>
    <col min="12296" max="12297" width="8.83203125" style="3253"/>
    <col min="12298" max="12298" width="5.6640625" style="3253" customWidth="1"/>
    <col min="12299" max="12299" width="11.6640625" style="3253" customWidth="1"/>
    <col min="12300" max="12301" width="10.6640625" style="3253" customWidth="1"/>
    <col min="12302" max="12302" width="10" style="3253" customWidth="1"/>
    <col min="12303" max="12304" width="10.5" style="3253" bestFit="1" customWidth="1"/>
    <col min="12305" max="12305" width="10" style="3253" customWidth="1"/>
    <col min="12306" max="12306" width="10.1640625" style="3253" customWidth="1"/>
    <col min="12307" max="12307" width="10" style="3253" customWidth="1"/>
    <col min="12308" max="12308" width="26.1640625" style="3253" customWidth="1"/>
    <col min="12309" max="12544" width="8.83203125" style="3253"/>
    <col min="12545" max="12545" width="9.5" style="3253" customWidth="1"/>
    <col min="12546" max="12546" width="8.83203125" style="3253"/>
    <col min="12547" max="12549" width="12.83203125" style="3253" customWidth="1"/>
    <col min="12550" max="12550" width="47.5" style="3253" customWidth="1"/>
    <col min="12551" max="12551" width="13" style="3253" customWidth="1"/>
    <col min="12552" max="12553" width="8.83203125" style="3253"/>
    <col min="12554" max="12554" width="5.6640625" style="3253" customWidth="1"/>
    <col min="12555" max="12555" width="11.6640625" style="3253" customWidth="1"/>
    <col min="12556" max="12557" width="10.6640625" style="3253" customWidth="1"/>
    <col min="12558" max="12558" width="10" style="3253" customWidth="1"/>
    <col min="12559" max="12560" width="10.5" style="3253" bestFit="1" customWidth="1"/>
    <col min="12561" max="12561" width="10" style="3253" customWidth="1"/>
    <col min="12562" max="12562" width="10.1640625" style="3253" customWidth="1"/>
    <col min="12563" max="12563" width="10" style="3253" customWidth="1"/>
    <col min="12564" max="12564" width="26.1640625" style="3253" customWidth="1"/>
    <col min="12565" max="12800" width="8.83203125" style="3253"/>
    <col min="12801" max="12801" width="9.5" style="3253" customWidth="1"/>
    <col min="12802" max="12802" width="8.83203125" style="3253"/>
    <col min="12803" max="12805" width="12.83203125" style="3253" customWidth="1"/>
    <col min="12806" max="12806" width="47.5" style="3253" customWidth="1"/>
    <col min="12807" max="12807" width="13" style="3253" customWidth="1"/>
    <col min="12808" max="12809" width="8.83203125" style="3253"/>
    <col min="12810" max="12810" width="5.6640625" style="3253" customWidth="1"/>
    <col min="12811" max="12811" width="11.6640625" style="3253" customWidth="1"/>
    <col min="12812" max="12813" width="10.6640625" style="3253" customWidth="1"/>
    <col min="12814" max="12814" width="10" style="3253" customWidth="1"/>
    <col min="12815" max="12816" width="10.5" style="3253" bestFit="1" customWidth="1"/>
    <col min="12817" max="12817" width="10" style="3253" customWidth="1"/>
    <col min="12818" max="12818" width="10.1640625" style="3253" customWidth="1"/>
    <col min="12819" max="12819" width="10" style="3253" customWidth="1"/>
    <col min="12820" max="12820" width="26.1640625" style="3253" customWidth="1"/>
    <col min="12821" max="13056" width="8.83203125" style="3253"/>
    <col min="13057" max="13057" width="9.5" style="3253" customWidth="1"/>
    <col min="13058" max="13058" width="8.83203125" style="3253"/>
    <col min="13059" max="13061" width="12.83203125" style="3253" customWidth="1"/>
    <col min="13062" max="13062" width="47.5" style="3253" customWidth="1"/>
    <col min="13063" max="13063" width="13" style="3253" customWidth="1"/>
    <col min="13064" max="13065" width="8.83203125" style="3253"/>
    <col min="13066" max="13066" width="5.6640625" style="3253" customWidth="1"/>
    <col min="13067" max="13067" width="11.6640625" style="3253" customWidth="1"/>
    <col min="13068" max="13069" width="10.6640625" style="3253" customWidth="1"/>
    <col min="13070" max="13070" width="10" style="3253" customWidth="1"/>
    <col min="13071" max="13072" width="10.5" style="3253" bestFit="1" customWidth="1"/>
    <col min="13073" max="13073" width="10" style="3253" customWidth="1"/>
    <col min="13074" max="13074" width="10.1640625" style="3253" customWidth="1"/>
    <col min="13075" max="13075" width="10" style="3253" customWidth="1"/>
    <col min="13076" max="13076" width="26.1640625" style="3253" customWidth="1"/>
    <col min="13077" max="13312" width="8.83203125" style="3253"/>
    <col min="13313" max="13313" width="9.5" style="3253" customWidth="1"/>
    <col min="13314" max="13314" width="8.83203125" style="3253"/>
    <col min="13315" max="13317" width="12.83203125" style="3253" customWidth="1"/>
    <col min="13318" max="13318" width="47.5" style="3253" customWidth="1"/>
    <col min="13319" max="13319" width="13" style="3253" customWidth="1"/>
    <col min="13320" max="13321" width="8.83203125" style="3253"/>
    <col min="13322" max="13322" width="5.6640625" style="3253" customWidth="1"/>
    <col min="13323" max="13323" width="11.6640625" style="3253" customWidth="1"/>
    <col min="13324" max="13325" width="10.6640625" style="3253" customWidth="1"/>
    <col min="13326" max="13326" width="10" style="3253" customWidth="1"/>
    <col min="13327" max="13328" width="10.5" style="3253" bestFit="1" customWidth="1"/>
    <col min="13329" max="13329" width="10" style="3253" customWidth="1"/>
    <col min="13330" max="13330" width="10.1640625" style="3253" customWidth="1"/>
    <col min="13331" max="13331" width="10" style="3253" customWidth="1"/>
    <col min="13332" max="13332" width="26.1640625" style="3253" customWidth="1"/>
    <col min="13333" max="13568" width="8.83203125" style="3253"/>
    <col min="13569" max="13569" width="9.5" style="3253" customWidth="1"/>
    <col min="13570" max="13570" width="8.83203125" style="3253"/>
    <col min="13571" max="13573" width="12.83203125" style="3253" customWidth="1"/>
    <col min="13574" max="13574" width="47.5" style="3253" customWidth="1"/>
    <col min="13575" max="13575" width="13" style="3253" customWidth="1"/>
    <col min="13576" max="13577" width="8.83203125" style="3253"/>
    <col min="13578" max="13578" width="5.6640625" style="3253" customWidth="1"/>
    <col min="13579" max="13579" width="11.6640625" style="3253" customWidth="1"/>
    <col min="13580" max="13581" width="10.6640625" style="3253" customWidth="1"/>
    <col min="13582" max="13582" width="10" style="3253" customWidth="1"/>
    <col min="13583" max="13584" width="10.5" style="3253" bestFit="1" customWidth="1"/>
    <col min="13585" max="13585" width="10" style="3253" customWidth="1"/>
    <col min="13586" max="13586" width="10.1640625" style="3253" customWidth="1"/>
    <col min="13587" max="13587" width="10" style="3253" customWidth="1"/>
    <col min="13588" max="13588" width="26.1640625" style="3253" customWidth="1"/>
    <col min="13589" max="13824" width="8.83203125" style="3253"/>
    <col min="13825" max="13825" width="9.5" style="3253" customWidth="1"/>
    <col min="13826" max="13826" width="8.83203125" style="3253"/>
    <col min="13827" max="13829" width="12.83203125" style="3253" customWidth="1"/>
    <col min="13830" max="13830" width="47.5" style="3253" customWidth="1"/>
    <col min="13831" max="13831" width="13" style="3253" customWidth="1"/>
    <col min="13832" max="13833" width="8.83203125" style="3253"/>
    <col min="13834" max="13834" width="5.6640625" style="3253" customWidth="1"/>
    <col min="13835" max="13835" width="11.6640625" style="3253" customWidth="1"/>
    <col min="13836" max="13837" width="10.6640625" style="3253" customWidth="1"/>
    <col min="13838" max="13838" width="10" style="3253" customWidth="1"/>
    <col min="13839" max="13840" width="10.5" style="3253" bestFit="1" customWidth="1"/>
    <col min="13841" max="13841" width="10" style="3253" customWidth="1"/>
    <col min="13842" max="13842" width="10.1640625" style="3253" customWidth="1"/>
    <col min="13843" max="13843" width="10" style="3253" customWidth="1"/>
    <col min="13844" max="13844" width="26.1640625" style="3253" customWidth="1"/>
    <col min="13845" max="14080" width="8.83203125" style="3253"/>
    <col min="14081" max="14081" width="9.5" style="3253" customWidth="1"/>
    <col min="14082" max="14082" width="8.83203125" style="3253"/>
    <col min="14083" max="14085" width="12.83203125" style="3253" customWidth="1"/>
    <col min="14086" max="14086" width="47.5" style="3253" customWidth="1"/>
    <col min="14087" max="14087" width="13" style="3253" customWidth="1"/>
    <col min="14088" max="14089" width="8.83203125" style="3253"/>
    <col min="14090" max="14090" width="5.6640625" style="3253" customWidth="1"/>
    <col min="14091" max="14091" width="11.6640625" style="3253" customWidth="1"/>
    <col min="14092" max="14093" width="10.6640625" style="3253" customWidth="1"/>
    <col min="14094" max="14094" width="10" style="3253" customWidth="1"/>
    <col min="14095" max="14096" width="10.5" style="3253" bestFit="1" customWidth="1"/>
    <col min="14097" max="14097" width="10" style="3253" customWidth="1"/>
    <col min="14098" max="14098" width="10.1640625" style="3253" customWidth="1"/>
    <col min="14099" max="14099" width="10" style="3253" customWidth="1"/>
    <col min="14100" max="14100" width="26.1640625" style="3253" customWidth="1"/>
    <col min="14101" max="14336" width="8.83203125" style="3253"/>
    <col min="14337" max="14337" width="9.5" style="3253" customWidth="1"/>
    <col min="14338" max="14338" width="8.83203125" style="3253"/>
    <col min="14339" max="14341" width="12.83203125" style="3253" customWidth="1"/>
    <col min="14342" max="14342" width="47.5" style="3253" customWidth="1"/>
    <col min="14343" max="14343" width="13" style="3253" customWidth="1"/>
    <col min="14344" max="14345" width="8.83203125" style="3253"/>
    <col min="14346" max="14346" width="5.6640625" style="3253" customWidth="1"/>
    <col min="14347" max="14347" width="11.6640625" style="3253" customWidth="1"/>
    <col min="14348" max="14349" width="10.6640625" style="3253" customWidth="1"/>
    <col min="14350" max="14350" width="10" style="3253" customWidth="1"/>
    <col min="14351" max="14352" width="10.5" style="3253" bestFit="1" customWidth="1"/>
    <col min="14353" max="14353" width="10" style="3253" customWidth="1"/>
    <col min="14354" max="14354" width="10.1640625" style="3253" customWidth="1"/>
    <col min="14355" max="14355" width="10" style="3253" customWidth="1"/>
    <col min="14356" max="14356" width="26.1640625" style="3253" customWidth="1"/>
    <col min="14357" max="14592" width="8.83203125" style="3253"/>
    <col min="14593" max="14593" width="9.5" style="3253" customWidth="1"/>
    <col min="14594" max="14594" width="8.83203125" style="3253"/>
    <col min="14595" max="14597" width="12.83203125" style="3253" customWidth="1"/>
    <col min="14598" max="14598" width="47.5" style="3253" customWidth="1"/>
    <col min="14599" max="14599" width="13" style="3253" customWidth="1"/>
    <col min="14600" max="14601" width="8.83203125" style="3253"/>
    <col min="14602" max="14602" width="5.6640625" style="3253" customWidth="1"/>
    <col min="14603" max="14603" width="11.6640625" style="3253" customWidth="1"/>
    <col min="14604" max="14605" width="10.6640625" style="3253" customWidth="1"/>
    <col min="14606" max="14606" width="10" style="3253" customWidth="1"/>
    <col min="14607" max="14608" width="10.5" style="3253" bestFit="1" customWidth="1"/>
    <col min="14609" max="14609" width="10" style="3253" customWidth="1"/>
    <col min="14610" max="14610" width="10.1640625" style="3253" customWidth="1"/>
    <col min="14611" max="14611" width="10" style="3253" customWidth="1"/>
    <col min="14612" max="14612" width="26.1640625" style="3253" customWidth="1"/>
    <col min="14613" max="14848" width="8.83203125" style="3253"/>
    <col min="14849" max="14849" width="9.5" style="3253" customWidth="1"/>
    <col min="14850" max="14850" width="8.83203125" style="3253"/>
    <col min="14851" max="14853" width="12.83203125" style="3253" customWidth="1"/>
    <col min="14854" max="14854" width="47.5" style="3253" customWidth="1"/>
    <col min="14855" max="14855" width="13" style="3253" customWidth="1"/>
    <col min="14856" max="14857" width="8.83203125" style="3253"/>
    <col min="14858" max="14858" width="5.6640625" style="3253" customWidth="1"/>
    <col min="14859" max="14859" width="11.6640625" style="3253" customWidth="1"/>
    <col min="14860" max="14861" width="10.6640625" style="3253" customWidth="1"/>
    <col min="14862" max="14862" width="10" style="3253" customWidth="1"/>
    <col min="14863" max="14864" width="10.5" style="3253" bestFit="1" customWidth="1"/>
    <col min="14865" max="14865" width="10" style="3253" customWidth="1"/>
    <col min="14866" max="14866" width="10.1640625" style="3253" customWidth="1"/>
    <col min="14867" max="14867" width="10" style="3253" customWidth="1"/>
    <col min="14868" max="14868" width="26.1640625" style="3253" customWidth="1"/>
    <col min="14869" max="15104" width="8.83203125" style="3253"/>
    <col min="15105" max="15105" width="9.5" style="3253" customWidth="1"/>
    <col min="15106" max="15106" width="8.83203125" style="3253"/>
    <col min="15107" max="15109" width="12.83203125" style="3253" customWidth="1"/>
    <col min="15110" max="15110" width="47.5" style="3253" customWidth="1"/>
    <col min="15111" max="15111" width="13" style="3253" customWidth="1"/>
    <col min="15112" max="15113" width="8.83203125" style="3253"/>
    <col min="15114" max="15114" width="5.6640625" style="3253" customWidth="1"/>
    <col min="15115" max="15115" width="11.6640625" style="3253" customWidth="1"/>
    <col min="15116" max="15117" width="10.6640625" style="3253" customWidth="1"/>
    <col min="15118" max="15118" width="10" style="3253" customWidth="1"/>
    <col min="15119" max="15120" width="10.5" style="3253" bestFit="1" customWidth="1"/>
    <col min="15121" max="15121" width="10" style="3253" customWidth="1"/>
    <col min="15122" max="15122" width="10.1640625" style="3253" customWidth="1"/>
    <col min="15123" max="15123" width="10" style="3253" customWidth="1"/>
    <col min="15124" max="15124" width="26.1640625" style="3253" customWidth="1"/>
    <col min="15125" max="15360" width="8.83203125" style="3253"/>
    <col min="15361" max="15361" width="9.5" style="3253" customWidth="1"/>
    <col min="15362" max="15362" width="8.83203125" style="3253"/>
    <col min="15363" max="15365" width="12.83203125" style="3253" customWidth="1"/>
    <col min="15366" max="15366" width="47.5" style="3253" customWidth="1"/>
    <col min="15367" max="15367" width="13" style="3253" customWidth="1"/>
    <col min="15368" max="15369" width="8.83203125" style="3253"/>
    <col min="15370" max="15370" width="5.6640625" style="3253" customWidth="1"/>
    <col min="15371" max="15371" width="11.6640625" style="3253" customWidth="1"/>
    <col min="15372" max="15373" width="10.6640625" style="3253" customWidth="1"/>
    <col min="15374" max="15374" width="10" style="3253" customWidth="1"/>
    <col min="15375" max="15376" width="10.5" style="3253" bestFit="1" customWidth="1"/>
    <col min="15377" max="15377" width="10" style="3253" customWidth="1"/>
    <col min="15378" max="15378" width="10.1640625" style="3253" customWidth="1"/>
    <col min="15379" max="15379" width="10" style="3253" customWidth="1"/>
    <col min="15380" max="15380" width="26.1640625" style="3253" customWidth="1"/>
    <col min="15381" max="15616" width="8.83203125" style="3253"/>
    <col min="15617" max="15617" width="9.5" style="3253" customWidth="1"/>
    <col min="15618" max="15618" width="8.83203125" style="3253"/>
    <col min="15619" max="15621" width="12.83203125" style="3253" customWidth="1"/>
    <col min="15622" max="15622" width="47.5" style="3253" customWidth="1"/>
    <col min="15623" max="15623" width="13" style="3253" customWidth="1"/>
    <col min="15624" max="15625" width="8.83203125" style="3253"/>
    <col min="15626" max="15626" width="5.6640625" style="3253" customWidth="1"/>
    <col min="15627" max="15627" width="11.6640625" style="3253" customWidth="1"/>
    <col min="15628" max="15629" width="10.6640625" style="3253" customWidth="1"/>
    <col min="15630" max="15630" width="10" style="3253" customWidth="1"/>
    <col min="15631" max="15632" width="10.5" style="3253" bestFit="1" customWidth="1"/>
    <col min="15633" max="15633" width="10" style="3253" customWidth="1"/>
    <col min="15634" max="15634" width="10.1640625" style="3253" customWidth="1"/>
    <col min="15635" max="15635" width="10" style="3253" customWidth="1"/>
    <col min="15636" max="15636" width="26.1640625" style="3253" customWidth="1"/>
    <col min="15637" max="15872" width="8.83203125" style="3253"/>
    <col min="15873" max="15873" width="9.5" style="3253" customWidth="1"/>
    <col min="15874" max="15874" width="8.83203125" style="3253"/>
    <col min="15875" max="15877" width="12.83203125" style="3253" customWidth="1"/>
    <col min="15878" max="15878" width="47.5" style="3253" customWidth="1"/>
    <col min="15879" max="15879" width="13" style="3253" customWidth="1"/>
    <col min="15880" max="15881" width="8.83203125" style="3253"/>
    <col min="15882" max="15882" width="5.6640625" style="3253" customWidth="1"/>
    <col min="15883" max="15883" width="11.6640625" style="3253" customWidth="1"/>
    <col min="15884" max="15885" width="10.6640625" style="3253" customWidth="1"/>
    <col min="15886" max="15886" width="10" style="3253" customWidth="1"/>
    <col min="15887" max="15888" width="10.5" style="3253" bestFit="1" customWidth="1"/>
    <col min="15889" max="15889" width="10" style="3253" customWidth="1"/>
    <col min="15890" max="15890" width="10.1640625" style="3253" customWidth="1"/>
    <col min="15891" max="15891" width="10" style="3253" customWidth="1"/>
    <col min="15892" max="15892" width="26.1640625" style="3253" customWidth="1"/>
    <col min="15893" max="16128" width="8.83203125" style="3253"/>
    <col min="16129" max="16129" width="9.5" style="3253" customWidth="1"/>
    <col min="16130" max="16130" width="8.83203125" style="3253"/>
    <col min="16131" max="16133" width="12.83203125" style="3253" customWidth="1"/>
    <col min="16134" max="16134" width="47.5" style="3253" customWidth="1"/>
    <col min="16135" max="16135" width="13" style="3253" customWidth="1"/>
    <col min="16136" max="16137" width="8.83203125" style="3253"/>
    <col min="16138" max="16138" width="5.6640625" style="3253" customWidth="1"/>
    <col min="16139" max="16139" width="11.6640625" style="3253" customWidth="1"/>
    <col min="16140" max="16141" width="10.6640625" style="3253" customWidth="1"/>
    <col min="16142" max="16142" width="10" style="3253" customWidth="1"/>
    <col min="16143" max="16144" width="10.5" style="3253" bestFit="1" customWidth="1"/>
    <col min="16145" max="16145" width="10" style="3253" customWidth="1"/>
    <col min="16146" max="16146" width="10.1640625" style="3253" customWidth="1"/>
    <col min="16147" max="16147" width="10" style="3253" customWidth="1"/>
    <col min="16148" max="16148" width="26.1640625" style="3253" customWidth="1"/>
    <col min="16149" max="16384" width="8.8320312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25" customHeight="1">
      <c r="A2" s="3254" t="s">
        <v>2819</v>
      </c>
      <c r="B2" s="3255" t="e">
        <f>C40</f>
        <v>#DIV/0!</v>
      </c>
      <c r="C2" s="3243" t="s">
        <v>2820</v>
      </c>
      <c r="D2" s="3243"/>
      <c r="E2" s="3244"/>
      <c r="F2" s="3245"/>
      <c r="G2" s="3256"/>
      <c r="H2" s="3257"/>
      <c r="I2" s="3258"/>
      <c r="J2" s="3778" t="s">
        <v>2821</v>
      </c>
      <c r="K2" s="3779"/>
      <c r="L2" s="3259" t="s">
        <v>2822</v>
      </c>
      <c r="M2" s="3259" t="s">
        <v>2823</v>
      </c>
      <c r="N2" s="3259" t="s">
        <v>2824</v>
      </c>
      <c r="O2" s="3259" t="s">
        <v>2825</v>
      </c>
      <c r="P2" s="3259" t="s">
        <v>2826</v>
      </c>
      <c r="Q2" s="3260" t="s">
        <v>2827</v>
      </c>
      <c r="R2" s="3261" t="s">
        <v>2828</v>
      </c>
      <c r="S2" s="3252"/>
      <c r="T2" s="3252"/>
      <c r="U2" s="3252"/>
      <c r="V2" s="3258"/>
    </row>
    <row r="3" spans="1:22" s="3262" customFormat="1" ht="13.25" customHeight="1">
      <c r="A3" s="3263" t="s">
        <v>2829</v>
      </c>
      <c r="B3" s="3264" t="e">
        <f>ROUND(B2*10000/B4,0)</f>
        <v>#DIV/0!</v>
      </c>
      <c r="C3" s="3243" t="s">
        <v>2830</v>
      </c>
      <c r="D3" s="3243"/>
      <c r="E3" s="3244"/>
      <c r="F3" s="3245"/>
      <c r="G3" s="3256"/>
      <c r="H3" s="3257"/>
      <c r="I3" s="3258"/>
      <c r="J3" s="3780" t="s">
        <v>2831</v>
      </c>
      <c r="K3" s="3781"/>
      <c r="L3" s="3265"/>
      <c r="M3" s="3265"/>
      <c r="N3" s="3265"/>
      <c r="O3" s="3265"/>
      <c r="P3" s="3265"/>
      <c r="Q3" s="3266"/>
      <c r="R3" s="3267">
        <f>SUM(L3:Q3)</f>
        <v>0</v>
      </c>
      <c r="S3" s="3252"/>
      <c r="T3" s="3252"/>
      <c r="U3" s="3252"/>
      <c r="V3" s="3258"/>
    </row>
    <row r="4" spans="1:22" s="3262" customFormat="1" ht="13.25" customHeight="1">
      <c r="A4" s="3268" t="s">
        <v>2832</v>
      </c>
      <c r="B4" s="3269"/>
      <c r="C4" s="3243"/>
      <c r="D4" s="3243"/>
      <c r="E4" s="3244"/>
      <c r="F4" s="3245"/>
      <c r="G4" s="3256"/>
      <c r="H4" s="3257"/>
      <c r="I4" s="3258"/>
      <c r="J4" s="3780" t="s">
        <v>2833</v>
      </c>
      <c r="K4" s="3781"/>
      <c r="L4" s="3270"/>
      <c r="M4" s="3270"/>
      <c r="N4" s="3270"/>
      <c r="O4" s="3270"/>
      <c r="P4" s="3270"/>
      <c r="Q4" s="3271"/>
      <c r="R4" s="3272">
        <f>SUM(L4:Q4)</f>
        <v>0</v>
      </c>
      <c r="S4" s="3252"/>
      <c r="T4" s="3252"/>
      <c r="U4" s="3252"/>
      <c r="V4" s="3258"/>
    </row>
    <row r="5" spans="1:22" s="3262" customFormat="1" ht="13.2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25" customHeight="1" thickBot="1">
      <c r="A6" s="3786" t="s">
        <v>2837</v>
      </c>
      <c r="B6" s="3787"/>
      <c r="C6" s="3788"/>
      <c r="D6" s="3279"/>
      <c r="E6" s="3280"/>
      <c r="F6" s="3281"/>
      <c r="G6" s="3282"/>
      <c r="H6" s="3257"/>
      <c r="I6" s="3258"/>
      <c r="J6" s="3772">
        <v>1</v>
      </c>
      <c r="K6" s="3773"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25" customHeight="1">
      <c r="A7" s="3285" t="s">
        <v>2847</v>
      </c>
      <c r="B7" s="3286"/>
      <c r="C7" s="3287"/>
      <c r="D7" s="3288">
        <f>SUM(D9,D10,D11,D17,0)</f>
        <v>0</v>
      </c>
      <c r="E7" s="3289" t="e">
        <f>E9+E10+E11+E17</f>
        <v>#DIV/0!</v>
      </c>
      <c r="F7" s="3290"/>
      <c r="G7" s="3291"/>
      <c r="H7" s="3257"/>
      <c r="I7" s="3258"/>
      <c r="J7" s="3772"/>
      <c r="K7" s="3774"/>
      <c r="L7" s="3292" t="s">
        <v>2848</v>
      </c>
      <c r="M7" s="3293"/>
      <c r="N7" s="3269"/>
      <c r="O7" s="3294"/>
      <c r="P7" s="3294"/>
      <c r="Q7" s="3295">
        <v>365</v>
      </c>
      <c r="R7" s="3296">
        <f>ROUND(M7*N7*O7*P7*Q7/10000,0)</f>
        <v>0</v>
      </c>
      <c r="S7" s="3252"/>
      <c r="T7" s="3252" t="s">
        <v>2849</v>
      </c>
      <c r="U7" s="3252"/>
      <c r="V7" s="3258"/>
    </row>
    <row r="8" spans="1:22" s="3262" customFormat="1" ht="13.25" customHeight="1">
      <c r="A8" s="3297" t="s">
        <v>2850</v>
      </c>
      <c r="B8" s="3789" t="s">
        <v>2851</v>
      </c>
      <c r="C8" s="3790"/>
      <c r="D8" s="3298" t="s">
        <v>2852</v>
      </c>
      <c r="E8" s="3299" t="s">
        <v>2853</v>
      </c>
      <c r="F8" s="3300" t="s">
        <v>2854</v>
      </c>
      <c r="G8" s="3301"/>
      <c r="H8" s="3257"/>
      <c r="I8" s="3258"/>
      <c r="J8" s="3772"/>
      <c r="K8" s="3774"/>
      <c r="L8" s="3292" t="s">
        <v>2855</v>
      </c>
      <c r="M8" s="3293"/>
      <c r="N8" s="3269"/>
      <c r="O8" s="3294"/>
      <c r="P8" s="3294"/>
      <c r="Q8" s="3295">
        <v>365</v>
      </c>
      <c r="R8" s="3296">
        <f t="shared" ref="R8:R13" si="0">ROUND(M8*N8*O8*P8*Q8/10000,0)</f>
        <v>0</v>
      </c>
      <c r="S8" s="3252"/>
      <c r="T8" s="3252" t="s">
        <v>2856</v>
      </c>
      <c r="U8" s="3252"/>
      <c r="V8" s="3258"/>
    </row>
    <row r="9" spans="1:22" s="3262" customFormat="1" ht="13.25" customHeight="1">
      <c r="A9" s="3297">
        <v>1</v>
      </c>
      <c r="B9" s="3789" t="s">
        <v>2857</v>
      </c>
      <c r="C9" s="3790"/>
      <c r="D9" s="3298">
        <f>ROUND(D6*E9,0)</f>
        <v>0</v>
      </c>
      <c r="E9" s="3302"/>
      <c r="F9" s="3303" t="s">
        <v>2858</v>
      </c>
      <c r="G9" s="3282"/>
      <c r="H9" s="3257"/>
      <c r="I9" s="3258"/>
      <c r="J9" s="3772"/>
      <c r="K9" s="3774"/>
      <c r="L9" s="3292" t="s">
        <v>2859</v>
      </c>
      <c r="M9" s="3293"/>
      <c r="N9" s="3269"/>
      <c r="O9" s="3294"/>
      <c r="P9" s="3294"/>
      <c r="Q9" s="3295">
        <v>365</v>
      </c>
      <c r="R9" s="3296">
        <f t="shared" si="0"/>
        <v>0</v>
      </c>
      <c r="S9" s="3252"/>
      <c r="T9" s="3252"/>
      <c r="U9" s="3252"/>
      <c r="V9" s="3258"/>
    </row>
    <row r="10" spans="1:22" s="3262" customFormat="1" ht="13.25" customHeight="1">
      <c r="A10" s="3297">
        <v>2</v>
      </c>
      <c r="B10" s="3789" t="s">
        <v>2860</v>
      </c>
      <c r="C10" s="3790"/>
      <c r="D10" s="3298">
        <f>ROUND(D6*E10,0)</f>
        <v>0</v>
      </c>
      <c r="E10" s="3302"/>
      <c r="F10" s="3303" t="s">
        <v>2861</v>
      </c>
      <c r="G10" s="3282"/>
      <c r="H10" s="3257"/>
      <c r="I10" s="3258"/>
      <c r="J10" s="3772"/>
      <c r="K10" s="3774"/>
      <c r="L10" s="3292" t="s">
        <v>2862</v>
      </c>
      <c r="M10" s="3293"/>
      <c r="N10" s="3269"/>
      <c r="O10" s="3294"/>
      <c r="P10" s="3294"/>
      <c r="Q10" s="3295">
        <v>365</v>
      </c>
      <c r="R10" s="3296">
        <f t="shared" si="0"/>
        <v>0</v>
      </c>
      <c r="S10" s="3252"/>
      <c r="T10" s="3252"/>
      <c r="U10" s="3252"/>
      <c r="V10" s="3258"/>
    </row>
    <row r="11" spans="1:22" s="3262" customFormat="1" ht="13.25" customHeight="1">
      <c r="A11" s="3297">
        <v>3</v>
      </c>
      <c r="B11" s="3789" t="s">
        <v>2863</v>
      </c>
      <c r="C11" s="3790"/>
      <c r="D11" s="3298">
        <f>D12+D14+D15+D16</f>
        <v>0</v>
      </c>
      <c r="E11" s="3304" t="e">
        <f>D11/D6</f>
        <v>#DIV/0!</v>
      </c>
      <c r="F11" s="3300"/>
      <c r="G11" s="3301"/>
      <c r="H11" s="3257"/>
      <c r="I11" s="3258"/>
      <c r="J11" s="3772"/>
      <c r="K11" s="3774"/>
      <c r="L11" s="3292" t="s">
        <v>2864</v>
      </c>
      <c r="M11" s="3293"/>
      <c r="N11" s="3269"/>
      <c r="O11" s="3294"/>
      <c r="P11" s="3294"/>
      <c r="Q11" s="3295">
        <v>365</v>
      </c>
      <c r="R11" s="3296">
        <f t="shared" si="0"/>
        <v>0</v>
      </c>
      <c r="S11" s="3252"/>
      <c r="T11" s="3252"/>
      <c r="U11" s="3252"/>
      <c r="V11" s="3258"/>
    </row>
    <row r="12" spans="1:22" s="3262" customFormat="1" ht="13.25" customHeight="1">
      <c r="A12" s="3305" t="s">
        <v>2865</v>
      </c>
      <c r="B12" s="3782" t="s">
        <v>2866</v>
      </c>
      <c r="C12" s="3783"/>
      <c r="D12" s="3306">
        <f>ROUND(D13*1.2%*(1-30%),0)</f>
        <v>0</v>
      </c>
      <c r="E12" s="3307">
        <v>1.2E-2</v>
      </c>
      <c r="F12" s="3300" t="s">
        <v>2867</v>
      </c>
      <c r="G12" s="3301"/>
      <c r="H12" s="3257"/>
      <c r="I12" s="3258"/>
      <c r="J12" s="3772"/>
      <c r="K12" s="3774"/>
      <c r="L12" s="3292" t="s">
        <v>2868</v>
      </c>
      <c r="M12" s="3293"/>
      <c r="N12" s="3269"/>
      <c r="O12" s="3294"/>
      <c r="P12" s="3294"/>
      <c r="Q12" s="3295">
        <v>365</v>
      </c>
      <c r="R12" s="3296">
        <f t="shared" si="0"/>
        <v>0</v>
      </c>
      <c r="S12" s="3252"/>
      <c r="T12" s="3252"/>
      <c r="U12" s="3252"/>
      <c r="V12" s="3258"/>
    </row>
    <row r="13" spans="1:22" s="3262" customFormat="1" ht="13.25" customHeight="1">
      <c r="A13" s="3305"/>
      <c r="B13" s="3308"/>
      <c r="C13" s="3309" t="s">
        <v>2869</v>
      </c>
      <c r="D13" s="3310"/>
      <c r="E13" s="3311"/>
      <c r="F13" s="3300"/>
      <c r="G13" s="3301"/>
      <c r="H13" s="3257"/>
      <c r="I13" s="3258"/>
      <c r="J13" s="3772"/>
      <c r="K13" s="3774"/>
      <c r="L13" s="3292" t="s">
        <v>2870</v>
      </c>
      <c r="M13" s="3293"/>
      <c r="N13" s="3269"/>
      <c r="O13" s="3294"/>
      <c r="P13" s="3294"/>
      <c r="Q13" s="3295">
        <v>365</v>
      </c>
      <c r="R13" s="3296">
        <f t="shared" si="0"/>
        <v>0</v>
      </c>
      <c r="S13" s="3252"/>
      <c r="T13" s="3252"/>
      <c r="U13" s="3252"/>
      <c r="V13" s="3258"/>
    </row>
    <row r="14" spans="1:22" s="3262" customFormat="1" ht="13.25" customHeight="1">
      <c r="A14" s="3305" t="s">
        <v>2871</v>
      </c>
      <c r="B14" s="3782" t="s">
        <v>2872</v>
      </c>
      <c r="C14" s="3783"/>
      <c r="D14" s="3306">
        <f>ROUND(E14*B5/10000,0)</f>
        <v>0</v>
      </c>
      <c r="E14" s="3295"/>
      <c r="F14" s="3300" t="s">
        <v>2873</v>
      </c>
      <c r="G14" s="3301"/>
      <c r="H14" s="3257"/>
      <c r="I14" s="3258"/>
      <c r="J14" s="3772"/>
      <c r="K14" s="3775"/>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25" customHeight="1">
      <c r="A15" s="3305" t="s">
        <v>2875</v>
      </c>
      <c r="B15" s="3782" t="s">
        <v>2876</v>
      </c>
      <c r="C15" s="3783"/>
      <c r="D15" s="3306">
        <f>ROUND(D6*E15,0)</f>
        <v>0</v>
      </c>
      <c r="E15" s="3307">
        <v>5.5E-2</v>
      </c>
      <c r="F15" s="3300" t="s">
        <v>2877</v>
      </c>
      <c r="G15" s="3282"/>
      <c r="H15" s="3257"/>
      <c r="I15" s="3258"/>
      <c r="J15" s="3772">
        <v>2</v>
      </c>
      <c r="K15" s="3773"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25" customHeight="1">
      <c r="A16" s="3305" t="s">
        <v>2884</v>
      </c>
      <c r="B16" s="3782" t="s">
        <v>2885</v>
      </c>
      <c r="C16" s="3783"/>
      <c r="D16" s="3317">
        <f>D6*E16</f>
        <v>0</v>
      </c>
      <c r="E16" s="3318"/>
      <c r="F16" s="3303" t="s">
        <v>2886</v>
      </c>
      <c r="G16" s="3282"/>
      <c r="H16" s="3257"/>
      <c r="I16" s="3258"/>
      <c r="J16" s="3772"/>
      <c r="K16" s="3774"/>
      <c r="L16" s="3292" t="s">
        <v>2887</v>
      </c>
      <c r="M16" s="3293"/>
      <c r="N16" s="3293"/>
      <c r="O16" s="3294"/>
      <c r="P16" s="3295">
        <v>365</v>
      </c>
      <c r="Q16" s="3269"/>
      <c r="R16" s="3316">
        <f>ROUND(M16*N16*O16*P16/10000,0)</f>
        <v>0</v>
      </c>
      <c r="S16" s="3252"/>
      <c r="T16" s="3252"/>
      <c r="U16" s="3252"/>
      <c r="V16" s="3258"/>
    </row>
    <row r="17" spans="1:22" s="3262" customFormat="1" ht="13.25" customHeight="1" thickBot="1">
      <c r="A17" s="3319">
        <v>4</v>
      </c>
      <c r="B17" s="3784" t="s">
        <v>2888</v>
      </c>
      <c r="C17" s="3785"/>
      <c r="D17" s="3320">
        <f>ROUND(D6*E17,0)</f>
        <v>0</v>
      </c>
      <c r="E17" s="3321"/>
      <c r="F17" s="3322" t="s">
        <v>2889</v>
      </c>
      <c r="G17" s="3282"/>
      <c r="H17" s="3257"/>
      <c r="I17" s="3258"/>
      <c r="J17" s="3772"/>
      <c r="K17" s="3774"/>
      <c r="L17" s="3292" t="s">
        <v>2890</v>
      </c>
      <c r="M17" s="3293"/>
      <c r="N17" s="3293"/>
      <c r="O17" s="3294"/>
      <c r="P17" s="3295">
        <v>365</v>
      </c>
      <c r="Q17" s="3269"/>
      <c r="R17" s="3316">
        <f>ROUND(M17*N17*O17*P17/10000,0)</f>
        <v>0</v>
      </c>
      <c r="S17" s="3252"/>
      <c r="T17" s="3252"/>
      <c r="U17" s="3252"/>
      <c r="V17" s="3258"/>
    </row>
    <row r="18" spans="1:22" s="3262" customFormat="1" ht="13.25" customHeight="1" thickBot="1">
      <c r="A18" s="3285" t="s">
        <v>2891</v>
      </c>
      <c r="B18" s="3286"/>
      <c r="C18" s="3286"/>
      <c r="D18" s="3323">
        <f>ROUND(D6*E18,0)</f>
        <v>0</v>
      </c>
      <c r="E18" s="3324"/>
      <c r="F18" s="3325" t="s">
        <v>2892</v>
      </c>
      <c r="G18" s="3282"/>
      <c r="H18" s="3257"/>
      <c r="I18" s="3258"/>
      <c r="J18" s="3772"/>
      <c r="K18" s="3774"/>
      <c r="L18" s="3292" t="s">
        <v>2893</v>
      </c>
      <c r="M18" s="3293"/>
      <c r="N18" s="3293"/>
      <c r="O18" s="3294"/>
      <c r="P18" s="3295">
        <v>365</v>
      </c>
      <c r="Q18" s="3269"/>
      <c r="R18" s="3316">
        <f>ROUND(M18*N18*O18*P18/10000,0)</f>
        <v>0</v>
      </c>
      <c r="S18" s="3252"/>
      <c r="T18" s="3252"/>
      <c r="U18" s="3252"/>
      <c r="V18" s="3258"/>
    </row>
    <row r="19" spans="1:22" s="3262" customFormat="1" ht="13.25" customHeight="1" thickBot="1">
      <c r="A19" s="3326" t="s">
        <v>2894</v>
      </c>
      <c r="B19" s="3280"/>
      <c r="C19" s="3280"/>
      <c r="D19" s="3280"/>
      <c r="E19" s="3280"/>
      <c r="F19" s="3281"/>
      <c r="G19" s="3301"/>
      <c r="H19" s="3257"/>
      <c r="I19" s="3258"/>
      <c r="J19" s="3772"/>
      <c r="K19" s="3775"/>
      <c r="L19" s="3312" t="s">
        <v>2874</v>
      </c>
      <c r="M19" s="3313"/>
      <c r="N19" s="3313">
        <f>SUM(N16:N18)</f>
        <v>0</v>
      </c>
      <c r="O19" s="3314"/>
      <c r="P19" s="3327" t="s">
        <v>2895</v>
      </c>
      <c r="Q19" s="3294"/>
      <c r="R19" s="3328">
        <f>ROUND(IF(P19="按比例",R14*Q19,SUM(R16:R18)),0)</f>
        <v>0</v>
      </c>
      <c r="S19" s="3252"/>
      <c r="T19" s="3252"/>
      <c r="U19" s="3252"/>
      <c r="V19" s="3258"/>
    </row>
    <row r="20" spans="1:22" s="3262" customFormat="1" ht="13.25" customHeight="1">
      <c r="A20" s="3285"/>
      <c r="B20" s="3286"/>
      <c r="C20" s="3286"/>
      <c r="D20" s="3286"/>
      <c r="E20" s="3286"/>
      <c r="F20" s="3329"/>
      <c r="G20" s="3301"/>
      <c r="H20" s="3257"/>
      <c r="I20" s="3258"/>
      <c r="J20" s="3772">
        <v>3</v>
      </c>
      <c r="K20" s="3773"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25" customHeight="1">
      <c r="A21" s="3285"/>
      <c r="B21" s="3286"/>
      <c r="C21" s="3332" t="s">
        <v>2904</v>
      </c>
      <c r="D21" s="3333" t="s">
        <v>2905</v>
      </c>
      <c r="E21" s="3334" t="s">
        <v>2906</v>
      </c>
      <c r="F21" s="3329"/>
      <c r="G21" s="3301"/>
      <c r="H21" s="3257"/>
      <c r="I21" s="3258"/>
      <c r="J21" s="3772"/>
      <c r="K21" s="3774"/>
      <c r="L21" s="3292" t="s">
        <v>2907</v>
      </c>
      <c r="M21" s="3293"/>
      <c r="N21" s="3293"/>
      <c r="O21" s="3294"/>
      <c r="P21" s="3295">
        <v>365</v>
      </c>
      <c r="Q21" s="3269"/>
      <c r="R21" s="3335">
        <f>ROUND(M21*N21*O21*P21/10000,0)</f>
        <v>0</v>
      </c>
      <c r="S21" s="3331"/>
      <c r="T21" s="3331"/>
      <c r="U21" s="3331"/>
      <c r="V21" s="3258"/>
    </row>
    <row r="22" spans="1:22" s="3262" customFormat="1" ht="13.25" customHeight="1">
      <c r="A22" s="3285"/>
      <c r="B22" s="3286"/>
      <c r="C22" s="3336" t="s">
        <v>2908</v>
      </c>
      <c r="D22" s="3337" t="s">
        <v>2909</v>
      </c>
      <c r="E22" s="3338" t="s">
        <v>2910</v>
      </c>
      <c r="F22" s="3329"/>
      <c r="G22" s="3339"/>
      <c r="H22" s="3257"/>
      <c r="I22" s="3258"/>
      <c r="J22" s="3772"/>
      <c r="K22" s="3774"/>
      <c r="L22" s="3292" t="s">
        <v>2911</v>
      </c>
      <c r="M22" s="3293"/>
      <c r="N22" s="3293"/>
      <c r="O22" s="3294"/>
      <c r="P22" s="3295">
        <v>365</v>
      </c>
      <c r="Q22" s="3269"/>
      <c r="R22" s="3335">
        <f>ROUND(M22*N22*O22*P22/10000,0)</f>
        <v>0</v>
      </c>
      <c r="S22" s="3331"/>
      <c r="T22" s="3331"/>
      <c r="U22" s="3331"/>
      <c r="V22" s="3258"/>
    </row>
    <row r="23" spans="1:22" s="3262" customFormat="1" ht="13.25" customHeight="1">
      <c r="A23" s="3340">
        <v>1</v>
      </c>
      <c r="B23" s="3341" t="s">
        <v>2912</v>
      </c>
      <c r="C23" s="3342">
        <f>D6</f>
        <v>0</v>
      </c>
      <c r="D23" s="3343">
        <f>C23*(1+D24)</f>
        <v>0</v>
      </c>
      <c r="E23" s="3344">
        <f>D23*(1+E24)</f>
        <v>0</v>
      </c>
      <c r="F23" s="3345"/>
      <c r="G23" s="3346"/>
      <c r="H23" s="3257"/>
      <c r="I23" s="3258"/>
      <c r="J23" s="3772"/>
      <c r="K23" s="3774"/>
      <c r="L23" s="3292" t="s">
        <v>2913</v>
      </c>
      <c r="M23" s="3293"/>
      <c r="N23" s="3293"/>
      <c r="O23" s="3294"/>
      <c r="P23" s="3295">
        <v>365</v>
      </c>
      <c r="Q23" s="3269"/>
      <c r="R23" s="3335">
        <f>ROUND(M23*N23*O23*P23/10000,0)</f>
        <v>0</v>
      </c>
      <c r="S23" s="3252"/>
      <c r="T23" s="3252"/>
      <c r="U23" s="3252"/>
      <c r="V23" s="3258"/>
    </row>
    <row r="24" spans="1:22" s="3262" customFormat="1" ht="13.25" customHeight="1">
      <c r="A24" s="3347"/>
      <c r="B24" s="3348" t="s">
        <v>2914</v>
      </c>
      <c r="C24" s="3349"/>
      <c r="D24" s="3350"/>
      <c r="E24" s="3351"/>
      <c r="F24" s="3352"/>
      <c r="G24" s="3346"/>
      <c r="H24" s="3257"/>
      <c r="I24" s="3258"/>
      <c r="J24" s="3772"/>
      <c r="K24" s="3775"/>
      <c r="L24" s="3312" t="s">
        <v>2874</v>
      </c>
      <c r="M24" s="3313">
        <f>SUM(M21:M23)</f>
        <v>0</v>
      </c>
      <c r="N24" s="3313"/>
      <c r="O24" s="3314"/>
      <c r="P24" s="3327" t="s">
        <v>2895</v>
      </c>
      <c r="Q24" s="3294"/>
      <c r="R24" s="3328">
        <f>ROUND(IF(P24="按比例",R14*Q24,SUM(R21:R23)),0)</f>
        <v>0</v>
      </c>
      <c r="S24" s="3252"/>
      <c r="T24" s="3252"/>
      <c r="U24" s="3252"/>
      <c r="V24" s="3258"/>
    </row>
    <row r="25" spans="1:22" s="3359" customFormat="1" ht="13.2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25" customHeight="1">
      <c r="A26" s="3340">
        <v>2</v>
      </c>
      <c r="B26" s="3341" t="s">
        <v>2916</v>
      </c>
      <c r="C26" s="3342">
        <f>D7</f>
        <v>0</v>
      </c>
      <c r="D26" s="3343">
        <f>D23*D27</f>
        <v>0</v>
      </c>
      <c r="E26" s="3344">
        <f>E23*E27</f>
        <v>0</v>
      </c>
      <c r="F26" s="3345"/>
      <c r="G26" s="3346"/>
      <c r="H26" s="3257"/>
      <c r="I26" s="3258"/>
      <c r="J26" s="3776">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25" customHeight="1">
      <c r="A27" s="3347"/>
      <c r="B27" s="3348" t="s">
        <v>2922</v>
      </c>
      <c r="C27" s="3366" t="e">
        <f>E7</f>
        <v>#DIV/0!</v>
      </c>
      <c r="D27" s="3350"/>
      <c r="E27" s="3351"/>
      <c r="F27" s="3352"/>
      <c r="G27" s="3346"/>
      <c r="H27" s="3367"/>
      <c r="I27" s="3358"/>
      <c r="J27" s="3777"/>
      <c r="K27" s="3368"/>
      <c r="L27" s="3369"/>
      <c r="M27" s="3370"/>
      <c r="N27" s="3371"/>
      <c r="O27" s="3371"/>
      <c r="P27" s="3371"/>
      <c r="Q27" s="3372"/>
      <c r="R27" s="3328">
        <f>ROUND(O27*N27*P27*(1-Q27)/10000,0)</f>
        <v>0</v>
      </c>
      <c r="S27" s="3252"/>
      <c r="T27" s="3252"/>
      <c r="U27" s="3252"/>
      <c r="V27" s="3258"/>
    </row>
    <row r="28" spans="1:22" s="3359" customFormat="1" ht="13.2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2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2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2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25" customHeight="1">
      <c r="A32" s="3340">
        <v>4</v>
      </c>
      <c r="B32" s="3341" t="s">
        <v>2930</v>
      </c>
      <c r="C32" s="3342">
        <f>C23-C26-C29</f>
        <v>0</v>
      </c>
      <c r="D32" s="3343">
        <f>D23-D26-D29</f>
        <v>0</v>
      </c>
      <c r="E32" s="3344">
        <f>E23-E26-E29</f>
        <v>0</v>
      </c>
      <c r="F32" s="3345"/>
      <c r="G32" s="3339"/>
      <c r="H32" s="3257"/>
      <c r="I32" s="3258"/>
      <c r="J32" s="3778" t="s">
        <v>2821</v>
      </c>
      <c r="K32" s="3779"/>
      <c r="L32" s="3259" t="s">
        <v>2822</v>
      </c>
      <c r="M32" s="3259" t="s">
        <v>2823</v>
      </c>
      <c r="N32" s="3259" t="s">
        <v>2824</v>
      </c>
      <c r="O32" s="3259" t="s">
        <v>2825</v>
      </c>
      <c r="P32" s="3259" t="s">
        <v>2826</v>
      </c>
      <c r="Q32" s="3260" t="s">
        <v>2827</v>
      </c>
      <c r="R32" s="3382" t="s">
        <v>2828</v>
      </c>
      <c r="S32" s="3331"/>
      <c r="T32" s="3252"/>
      <c r="U32" s="3252"/>
      <c r="V32" s="3358"/>
    </row>
    <row r="33" spans="1:23" s="3262" customFormat="1" ht="13.25" customHeight="1">
      <c r="A33" s="3340"/>
      <c r="B33" s="3341"/>
      <c r="C33" s="3342"/>
      <c r="D33" s="3383"/>
      <c r="E33" s="3384"/>
      <c r="F33" s="3345"/>
      <c r="G33" s="3339"/>
      <c r="H33" s="3367"/>
      <c r="I33" s="3358"/>
      <c r="J33" s="3780" t="s">
        <v>2831</v>
      </c>
      <c r="K33" s="3781"/>
      <c r="L33" s="3265"/>
      <c r="M33" s="3265"/>
      <c r="N33" s="3265"/>
      <c r="O33" s="3265"/>
      <c r="P33" s="3265"/>
      <c r="Q33" s="3266"/>
      <c r="R33" s="3385">
        <f>SUM(L33:Q33)</f>
        <v>0</v>
      </c>
      <c r="S33" s="3331"/>
      <c r="T33" s="3252"/>
      <c r="U33" s="3252"/>
      <c r="V33" s="3258"/>
    </row>
    <row r="34" spans="1:23" s="3262" customFormat="1" ht="13.25" customHeight="1">
      <c r="A34" s="3340">
        <v>5</v>
      </c>
      <c r="B34" s="3341" t="s">
        <v>2931</v>
      </c>
      <c r="C34" s="3386"/>
      <c r="D34" s="3387"/>
      <c r="E34" s="3388"/>
      <c r="F34" s="3345"/>
      <c r="G34" s="3339"/>
      <c r="H34" s="3367"/>
      <c r="I34" s="3358"/>
      <c r="J34" s="3780" t="s">
        <v>2833</v>
      </c>
      <c r="K34" s="3781"/>
      <c r="L34" s="3270"/>
      <c r="M34" s="3270"/>
      <c r="N34" s="3270"/>
      <c r="O34" s="3270"/>
      <c r="P34" s="3270"/>
      <c r="Q34" s="3271"/>
      <c r="R34" s="3389">
        <f>SUM(L34:Q34)</f>
        <v>0</v>
      </c>
      <c r="S34" s="3331"/>
      <c r="T34" s="3252"/>
      <c r="U34" s="3252" t="e">
        <f>ROUND(R35*10000/365/R33,1)</f>
        <v>#DIV/0!</v>
      </c>
      <c r="V34" s="3258"/>
    </row>
    <row r="35" spans="1:23" s="3262" customFormat="1" ht="13.2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25" customHeight="1" thickBot="1">
      <c r="A36" s="3340">
        <v>7</v>
      </c>
      <c r="B36" s="3395" t="s">
        <v>2933</v>
      </c>
      <c r="C36" s="3396"/>
      <c r="D36" s="3397"/>
      <c r="E36" s="3398"/>
      <c r="F36" s="3399">
        <f>C36+D36+E36</f>
        <v>0</v>
      </c>
      <c r="G36" s="3339"/>
      <c r="H36" s="3257"/>
      <c r="I36" s="3258"/>
      <c r="J36" s="3772">
        <v>1</v>
      </c>
      <c r="K36" s="3773" t="s">
        <v>2934</v>
      </c>
      <c r="L36" s="3283"/>
      <c r="M36" s="3284"/>
      <c r="N36" s="3284"/>
      <c r="O36" s="3284"/>
      <c r="P36" s="3284"/>
      <c r="Q36" s="3284"/>
      <c r="R36" s="3267" t="s">
        <v>2845</v>
      </c>
      <c r="S36" s="3331"/>
      <c r="T36" s="3252" t="s">
        <v>2846</v>
      </c>
      <c r="U36" s="3252"/>
      <c r="V36" s="3258"/>
    </row>
    <row r="37" spans="1:23" s="3262" customFormat="1" ht="13.25" customHeight="1">
      <c r="A37" s="3340"/>
      <c r="B37" s="3341"/>
      <c r="C37" s="3341"/>
      <c r="D37" s="3341"/>
      <c r="E37" s="3341"/>
      <c r="F37" s="3345"/>
      <c r="G37" s="3339"/>
      <c r="H37" s="3257"/>
      <c r="I37" s="3258"/>
      <c r="J37" s="3772"/>
      <c r="K37" s="3774"/>
      <c r="L37" s="3292"/>
      <c r="M37" s="3293"/>
      <c r="N37" s="3269"/>
      <c r="O37" s="3294"/>
      <c r="P37" s="3294"/>
      <c r="Q37" s="3295"/>
      <c r="R37" s="3296"/>
      <c r="S37" s="3331"/>
      <c r="T37" s="3252" t="s">
        <v>2849</v>
      </c>
      <c r="U37" s="3252"/>
      <c r="V37" s="3258"/>
    </row>
    <row r="38" spans="1:23" s="3262" customFormat="1" ht="13.25" customHeight="1">
      <c r="A38" s="3340">
        <v>8</v>
      </c>
      <c r="B38" s="3341"/>
      <c r="C38" s="3298" t="e">
        <f>ROUND(C32*(1-((1+C35)/(1+C34))^C36)/(C34-C35),0)</f>
        <v>#DIV/0!</v>
      </c>
      <c r="D38" s="3298">
        <f>IF(D23=0,0,ROUND(D32*(1-((1+D35)/(1+D34))^D36)/(D34-D35),0))</f>
        <v>0</v>
      </c>
      <c r="E38" s="3298">
        <f>IF(E23=0,0,ROUND(E32*(1-((1+E35)/(1+E34))^E36)/(E34-E35),0))</f>
        <v>0</v>
      </c>
      <c r="F38" s="3345"/>
      <c r="G38" s="3339"/>
      <c r="H38" s="3257"/>
      <c r="I38" s="3258"/>
      <c r="J38" s="3772"/>
      <c r="K38" s="3774"/>
      <c r="L38" s="3292"/>
      <c r="M38" s="3293"/>
      <c r="N38" s="3269"/>
      <c r="O38" s="3294"/>
      <c r="P38" s="3294"/>
      <c r="Q38" s="3295"/>
      <c r="R38" s="3296"/>
      <c r="S38" s="3331"/>
      <c r="T38" s="3252" t="s">
        <v>2856</v>
      </c>
      <c r="U38" s="3252"/>
      <c r="V38" s="3258"/>
    </row>
    <row r="39" spans="1:23" s="3262" customFormat="1" ht="13.25" customHeight="1">
      <c r="A39" s="3340">
        <v>9</v>
      </c>
      <c r="B39" s="3341" t="s">
        <v>2935</v>
      </c>
      <c r="C39" s="3306" t="e">
        <f>C38</f>
        <v>#DIV/0!</v>
      </c>
      <c r="D39" s="3341">
        <f>D38/(1+D34)^C36</f>
        <v>0</v>
      </c>
      <c r="E39" s="3341">
        <f>E38/(1+E34)^(C36+D36)</f>
        <v>0</v>
      </c>
      <c r="F39" s="3345"/>
      <c r="G39" s="3400"/>
      <c r="H39" s="3257"/>
      <c r="I39" s="3258"/>
      <c r="J39" s="3772"/>
      <c r="K39" s="3774"/>
      <c r="L39" s="3292"/>
      <c r="M39" s="3293"/>
      <c r="N39" s="3269"/>
      <c r="O39" s="3294"/>
      <c r="P39" s="3294"/>
      <c r="Q39" s="3295"/>
      <c r="R39" s="3296"/>
      <c r="S39" s="3331"/>
      <c r="T39" s="3252"/>
      <c r="U39" s="3252"/>
      <c r="V39" s="3258"/>
    </row>
    <row r="40" spans="1:23" s="3262" customFormat="1" ht="13.25" customHeight="1">
      <c r="A40" s="3401">
        <v>10</v>
      </c>
      <c r="B40" s="3341" t="s">
        <v>2936</v>
      </c>
      <c r="C40" s="3402" t="e">
        <f>C39+D39+E39</f>
        <v>#DIV/0!</v>
      </c>
      <c r="D40" s="3403"/>
      <c r="E40" s="3403"/>
      <c r="F40" s="3404"/>
      <c r="G40" s="3339"/>
      <c r="H40" s="3257"/>
      <c r="I40" s="3258"/>
      <c r="J40" s="3772"/>
      <c r="K40" s="3775"/>
      <c r="L40" s="3312" t="s">
        <v>2874</v>
      </c>
      <c r="M40" s="3313"/>
      <c r="N40" s="3313"/>
      <c r="O40" s="3314"/>
      <c r="P40" s="3314"/>
      <c r="Q40" s="3315"/>
      <c r="R40" s="3261">
        <f>SUM(R37:R39)</f>
        <v>0</v>
      </c>
      <c r="S40" s="3331"/>
      <c r="T40" s="3252"/>
      <c r="U40" s="3252"/>
      <c r="V40" s="3258"/>
    </row>
    <row r="41" spans="1:23" s="3262" customFormat="1" ht="13.2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25" customHeight="1">
      <c r="G42" s="3409"/>
      <c r="H42" s="3257"/>
      <c r="I42" s="3258"/>
      <c r="J42" s="3776">
        <v>3</v>
      </c>
      <c r="K42" s="3360" t="s">
        <v>2917</v>
      </c>
      <c r="L42" s="3361"/>
      <c r="M42" s="3362"/>
      <c r="N42" s="3363" t="s">
        <v>2918</v>
      </c>
      <c r="O42" s="3363" t="s">
        <v>2919</v>
      </c>
      <c r="P42" s="3364" t="s">
        <v>2920</v>
      </c>
      <c r="Q42" s="3364" t="s">
        <v>2921</v>
      </c>
      <c r="R42" s="3267" t="s">
        <v>2845</v>
      </c>
      <c r="S42" s="3365"/>
      <c r="T42" s="3365"/>
      <c r="U42" s="3252"/>
      <c r="V42" s="3258"/>
    </row>
    <row r="43" spans="1:23" ht="13.25" customHeight="1">
      <c r="A43" s="3262"/>
      <c r="B43" s="3262"/>
      <c r="C43" s="3262"/>
      <c r="D43" s="3262"/>
      <c r="E43" s="3262"/>
      <c r="F43" s="3262"/>
      <c r="I43" s="3247"/>
      <c r="J43" s="3777"/>
      <c r="K43" s="3368"/>
      <c r="L43" s="3369"/>
      <c r="M43" s="3370"/>
      <c r="N43" s="3293"/>
      <c r="O43" s="3293"/>
      <c r="P43" s="3293"/>
      <c r="Q43" s="3357"/>
      <c r="R43" s="3328">
        <f>ROUND(O43*N43*P43*(1-Q43)/10000,0)</f>
        <v>0</v>
      </c>
      <c r="S43" s="3331"/>
      <c r="T43" s="3252"/>
      <c r="V43" s="3411"/>
      <c r="W43" s="3412"/>
    </row>
    <row r="44" spans="1:23" ht="13.2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baseColWidth="10" defaultColWidth="8.83203125" defaultRowHeight="14"/>
  <cols>
    <col min="1" max="1" width="10.5" customWidth="1"/>
    <col min="2" max="2" width="12.83203125" customWidth="1"/>
    <col min="3" max="3" width="8.6640625" customWidth="1"/>
  </cols>
  <sheetData>
    <row r="1" spans="1:9" ht="15">
      <c r="A1" s="3791" t="s">
        <v>2243</v>
      </c>
      <c r="B1" s="3792"/>
      <c r="C1" s="3793"/>
      <c r="D1" s="3794">
        <f>SUM(I10,I15,I20,I21,I23)</f>
        <v>0</v>
      </c>
      <c r="E1" s="3794"/>
      <c r="F1" s="3794"/>
      <c r="G1" s="3794"/>
      <c r="H1" s="3794"/>
      <c r="I1" s="3795"/>
    </row>
    <row r="2" spans="1:9">
      <c r="A2" s="3796" t="s">
        <v>2244</v>
      </c>
      <c r="B2" s="3797" t="s">
        <v>2245</v>
      </c>
      <c r="C2" s="3797"/>
      <c r="D2" s="2310" t="s">
        <v>2246</v>
      </c>
      <c r="E2" s="2310" t="s">
        <v>2247</v>
      </c>
      <c r="F2" s="2310" t="s">
        <v>2248</v>
      </c>
      <c r="G2" s="2310" t="s">
        <v>2249</v>
      </c>
      <c r="H2" s="2310" t="s">
        <v>2250</v>
      </c>
      <c r="I2" s="2311" t="s">
        <v>2251</v>
      </c>
    </row>
    <row r="3" spans="1:9">
      <c r="A3" s="3796"/>
      <c r="B3" s="3797" t="s">
        <v>2252</v>
      </c>
      <c r="C3" s="3797"/>
      <c r="D3" s="2312"/>
      <c r="E3" s="2310"/>
      <c r="F3" s="2313"/>
      <c r="G3" s="2313"/>
      <c r="H3" s="2314"/>
      <c r="I3" s="2315">
        <f>ROUND(D3*E3*F3*G3*H3/10000,0)</f>
        <v>0</v>
      </c>
    </row>
    <row r="4" spans="1:9">
      <c r="A4" s="3796"/>
      <c r="B4" s="3797" t="s">
        <v>2253</v>
      </c>
      <c r="C4" s="3797"/>
      <c r="D4" s="2312"/>
      <c r="E4" s="2310"/>
      <c r="F4" s="2313"/>
      <c r="G4" s="2313"/>
      <c r="H4" s="2314"/>
      <c r="I4" s="2315">
        <f t="shared" ref="I4:I9" si="0">ROUND(D4*E4*F4*G4*H4/10000,0)</f>
        <v>0</v>
      </c>
    </row>
    <row r="5" spans="1:9">
      <c r="A5" s="3796"/>
      <c r="B5" s="3797" t="s">
        <v>2254</v>
      </c>
      <c r="C5" s="3797"/>
      <c r="D5" s="2312"/>
      <c r="E5" s="2310"/>
      <c r="F5" s="2313"/>
      <c r="G5" s="2313"/>
      <c r="H5" s="2314"/>
      <c r="I5" s="2315">
        <f t="shared" si="0"/>
        <v>0</v>
      </c>
    </row>
    <row r="6" spans="1:9">
      <c r="A6" s="3796"/>
      <c r="B6" s="3797" t="s">
        <v>2255</v>
      </c>
      <c r="C6" s="3797"/>
      <c r="D6" s="2312"/>
      <c r="E6" s="2310"/>
      <c r="F6" s="2313"/>
      <c r="G6" s="2313"/>
      <c r="H6" s="2314"/>
      <c r="I6" s="2315">
        <f t="shared" si="0"/>
        <v>0</v>
      </c>
    </row>
    <row r="7" spans="1:9">
      <c r="A7" s="3796"/>
      <c r="B7" s="3797" t="s">
        <v>2256</v>
      </c>
      <c r="C7" s="3797"/>
      <c r="D7" s="2312"/>
      <c r="E7" s="2310"/>
      <c r="F7" s="2313"/>
      <c r="G7" s="2313"/>
      <c r="H7" s="2314"/>
      <c r="I7" s="2315">
        <f t="shared" si="0"/>
        <v>0</v>
      </c>
    </row>
    <row r="8" spans="1:9">
      <c r="A8" s="3796"/>
      <c r="B8" s="3797" t="s">
        <v>2257</v>
      </c>
      <c r="C8" s="3797"/>
      <c r="D8" s="2312"/>
      <c r="E8" s="2310"/>
      <c r="F8" s="2313"/>
      <c r="G8" s="2313"/>
      <c r="H8" s="2314"/>
      <c r="I8" s="2315">
        <f t="shared" si="0"/>
        <v>0</v>
      </c>
    </row>
    <row r="9" spans="1:9">
      <c r="A9" s="3796"/>
      <c r="B9" s="3797" t="s">
        <v>2258</v>
      </c>
      <c r="C9" s="3797"/>
      <c r="D9" s="2312"/>
      <c r="E9" s="2310"/>
      <c r="F9" s="2313"/>
      <c r="G9" s="2313"/>
      <c r="H9" s="2314"/>
      <c r="I9" s="2315">
        <f t="shared" si="0"/>
        <v>0</v>
      </c>
    </row>
    <row r="10" spans="1:9">
      <c r="A10" s="3796"/>
      <c r="B10" s="3798" t="s">
        <v>2259</v>
      </c>
      <c r="C10" s="3798"/>
      <c r="D10" s="2316">
        <v>527</v>
      </c>
      <c r="E10" s="2316" t="e">
        <f>ROUND(D1*10000/D10/H9,0)</f>
        <v>#DIV/0!</v>
      </c>
      <c r="F10" s="2317"/>
      <c r="G10" s="2317"/>
      <c r="H10" s="2318"/>
      <c r="I10" s="2319">
        <f>SUM(I3:I9)</f>
        <v>0</v>
      </c>
    </row>
    <row r="11" spans="1:9" ht="15">
      <c r="A11" s="3796" t="s">
        <v>2260</v>
      </c>
      <c r="B11" s="3797" t="s">
        <v>2261</v>
      </c>
      <c r="C11" s="3797"/>
      <c r="D11" s="2312" t="s">
        <v>2262</v>
      </c>
      <c r="E11" s="2312" t="s">
        <v>2263</v>
      </c>
      <c r="F11" s="2313" t="s">
        <v>2264</v>
      </c>
      <c r="G11" s="2313" t="s">
        <v>2265</v>
      </c>
      <c r="H11" s="2320" t="s">
        <v>2266</v>
      </c>
      <c r="I11" s="2311" t="s">
        <v>2267</v>
      </c>
    </row>
    <row r="12" spans="1:9">
      <c r="A12" s="3796"/>
      <c r="B12" s="3797" t="s">
        <v>2268</v>
      </c>
      <c r="C12" s="3797"/>
      <c r="D12" s="2312"/>
      <c r="E12" s="2312"/>
      <c r="F12" s="2313"/>
      <c r="G12" s="2314"/>
      <c r="H12" s="2321"/>
      <c r="I12" s="2311">
        <f>ROUND(D12*E12*F12*G12/10000,0)</f>
        <v>0</v>
      </c>
    </row>
    <row r="13" spans="1:9">
      <c r="A13" s="3796"/>
      <c r="B13" s="3797" t="s">
        <v>2269</v>
      </c>
      <c r="C13" s="3797"/>
      <c r="D13" s="2312"/>
      <c r="E13" s="2312"/>
      <c r="F13" s="2313"/>
      <c r="G13" s="2314"/>
      <c r="H13" s="2321"/>
      <c r="I13" s="2311">
        <f>ROUND(D13*E13*F13*G13/10000,0)</f>
        <v>0</v>
      </c>
    </row>
    <row r="14" spans="1:9">
      <c r="A14" s="3796"/>
      <c r="B14" s="3797" t="s">
        <v>2270</v>
      </c>
      <c r="C14" s="3797"/>
      <c r="D14" s="2312"/>
      <c r="E14" s="2312"/>
      <c r="F14" s="2313"/>
      <c r="G14" s="2314"/>
      <c r="H14" s="2321"/>
      <c r="I14" s="2311">
        <f>ROUND(D14*E14*F14*G14/10000,0)</f>
        <v>0</v>
      </c>
    </row>
    <row r="15" spans="1:9">
      <c r="A15" s="3796"/>
      <c r="B15" s="3798" t="s">
        <v>2259</v>
      </c>
      <c r="C15" s="3798"/>
      <c r="D15" s="2316"/>
      <c r="E15" s="2316">
        <f>SUM(E12:E14)</f>
        <v>0</v>
      </c>
      <c r="F15" s="2317"/>
      <c r="G15" s="2314"/>
      <c r="H15" s="2321"/>
      <c r="I15" s="2322">
        <f>SUM(I12:I14)</f>
        <v>0</v>
      </c>
    </row>
    <row r="16" spans="1:9" ht="30">
      <c r="A16" s="3796" t="s">
        <v>2271</v>
      </c>
      <c r="B16" s="3797" t="s">
        <v>2272</v>
      </c>
      <c r="C16" s="3797"/>
      <c r="D16" s="2312" t="s">
        <v>2273</v>
      </c>
      <c r="E16" s="2323" t="s">
        <v>2274</v>
      </c>
      <c r="F16" s="2313" t="s">
        <v>2275</v>
      </c>
      <c r="G16" s="2314" t="s">
        <v>2265</v>
      </c>
      <c r="H16" s="2320" t="s">
        <v>2266</v>
      </c>
      <c r="I16" s="2311" t="s">
        <v>2267</v>
      </c>
    </row>
    <row r="17" spans="1:9" ht="15">
      <c r="A17" s="3796"/>
      <c r="B17" s="3797" t="s">
        <v>2276</v>
      </c>
      <c r="C17" s="3797"/>
      <c r="D17" s="2312"/>
      <c r="E17" s="2312"/>
      <c r="F17" s="2313"/>
      <c r="G17" s="2314"/>
      <c r="H17" s="2324"/>
      <c r="I17" s="2325">
        <f>ROUND(D17*E17*F17*G17/10000,0)</f>
        <v>0</v>
      </c>
    </row>
    <row r="18" spans="1:9" ht="15">
      <c r="A18" s="3796"/>
      <c r="B18" s="3797" t="s">
        <v>2277</v>
      </c>
      <c r="C18" s="3797"/>
      <c r="D18" s="2312"/>
      <c r="E18" s="2312"/>
      <c r="F18" s="2313"/>
      <c r="G18" s="2314"/>
      <c r="H18" s="2324"/>
      <c r="I18" s="2325">
        <f>ROUND(D18*E18*F18*G18/10000,0)</f>
        <v>0</v>
      </c>
    </row>
    <row r="19" spans="1:9" ht="15">
      <c r="A19" s="3796"/>
      <c r="B19" s="3797" t="s">
        <v>2278</v>
      </c>
      <c r="C19" s="3797"/>
      <c r="D19" s="2312"/>
      <c r="E19" s="2312"/>
      <c r="F19" s="2313"/>
      <c r="G19" s="2314"/>
      <c r="H19" s="2324"/>
      <c r="I19" s="2325">
        <f>ROUND(D19*E19*F19*G19/10000,0)</f>
        <v>0</v>
      </c>
    </row>
    <row r="20" spans="1:9">
      <c r="A20" s="3796"/>
      <c r="B20" s="3798" t="s">
        <v>2259</v>
      </c>
      <c r="C20" s="3798"/>
      <c r="D20" s="2316">
        <f>SUM(D17:D19)</f>
        <v>0</v>
      </c>
      <c r="E20" s="2316"/>
      <c r="F20" s="2317"/>
      <c r="G20" s="2314"/>
      <c r="H20" s="2321"/>
      <c r="I20" s="2322">
        <f>SUM(I17:I19)</f>
        <v>0</v>
      </c>
    </row>
    <row r="21" spans="1:9">
      <c r="A21" s="3796" t="s">
        <v>2279</v>
      </c>
      <c r="B21" s="3800"/>
      <c r="C21" s="3800"/>
      <c r="D21" s="3800"/>
      <c r="E21" s="3800"/>
      <c r="F21" s="3800"/>
      <c r="G21" s="3800"/>
      <c r="H21" s="2326">
        <v>0.1</v>
      </c>
      <c r="I21" s="2319">
        <f>ROUND(I10*H21,0)</f>
        <v>0</v>
      </c>
    </row>
    <row r="22" spans="1:9" ht="15">
      <c r="A22" s="3801" t="s">
        <v>2280</v>
      </c>
      <c r="B22" s="3802"/>
      <c r="C22" s="3803"/>
      <c r="D22" s="2327" t="s">
        <v>2281</v>
      </c>
      <c r="E22" s="2327" t="s">
        <v>2282</v>
      </c>
      <c r="F22" s="2328" t="s">
        <v>2283</v>
      </c>
      <c r="G22" s="2328" t="s">
        <v>2284</v>
      </c>
      <c r="H22" s="2320" t="s">
        <v>2285</v>
      </c>
      <c r="I22" s="2311" t="s">
        <v>2286</v>
      </c>
    </row>
    <row r="23" spans="1:9" ht="15" thickBot="1">
      <c r="A23" s="3804"/>
      <c r="B23" s="3805"/>
      <c r="C23" s="3806"/>
      <c r="D23" s="2329"/>
      <c r="E23" s="2329"/>
      <c r="F23" s="2329"/>
      <c r="G23" s="2330"/>
      <c r="H23" s="2331"/>
      <c r="I23" s="2332">
        <f>ROUND(E23*D23*F23*(1-G23)/10000,0)</f>
        <v>0</v>
      </c>
    </row>
    <row r="26" spans="1:9">
      <c r="A26" s="2333" t="s">
        <v>2287</v>
      </c>
      <c r="B26" s="2333"/>
      <c r="C26" s="2333"/>
      <c r="D26" s="2333"/>
      <c r="E26" s="3807">
        <f>C27-C30-C31-C32</f>
        <v>0</v>
      </c>
      <c r="F26" s="3807"/>
      <c r="G26" s="3807"/>
      <c r="H26" s="2703" t="s">
        <v>2610</v>
      </c>
    </row>
    <row r="27" spans="1:9">
      <c r="A27" s="2334">
        <v>1</v>
      </c>
      <c r="B27" s="2335" t="s">
        <v>2288</v>
      </c>
      <c r="C27" s="2335"/>
      <c r="D27" s="2335"/>
      <c r="E27" s="3808"/>
      <c r="F27" s="3808"/>
      <c r="G27" s="3808"/>
    </row>
    <row r="28" spans="1:9">
      <c r="A28" s="2336" t="s">
        <v>2289</v>
      </c>
      <c r="B28" s="2335" t="s">
        <v>2290</v>
      </c>
      <c r="C28" s="2335"/>
      <c r="D28" s="2335"/>
      <c r="E28" s="3808"/>
      <c r="F28" s="3808"/>
      <c r="G28" s="3808"/>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99"/>
      <c r="F32" s="3799"/>
      <c r="G32" s="3799"/>
    </row>
    <row r="33" spans="1:7" hidden="1">
      <c r="A33" s="3809" t="s">
        <v>2298</v>
      </c>
      <c r="B33" s="3810"/>
      <c r="C33" s="3810"/>
      <c r="D33" s="3811"/>
      <c r="E33" s="3807"/>
      <c r="F33" s="3807"/>
      <c r="G33" s="3807"/>
    </row>
    <row r="34" spans="1:7" hidden="1">
      <c r="A34" s="2338">
        <v>1</v>
      </c>
      <c r="B34" s="2335" t="s">
        <v>2299</v>
      </c>
      <c r="C34" s="2335"/>
      <c r="D34" s="2335"/>
      <c r="E34" s="3808"/>
      <c r="F34" s="3808"/>
      <c r="G34" s="3808"/>
    </row>
    <row r="35" spans="1:7" hidden="1">
      <c r="A35" s="2338">
        <v>2</v>
      </c>
      <c r="B35" s="2335" t="s">
        <v>2300</v>
      </c>
      <c r="C35" s="2335"/>
      <c r="D35" s="2335"/>
      <c r="E35" s="3808"/>
      <c r="F35" s="3808"/>
      <c r="G35" s="3808"/>
    </row>
    <row r="36" spans="1:7" hidden="1">
      <c r="A36" s="2338">
        <v>3</v>
      </c>
      <c r="B36" s="2335" t="s">
        <v>2301</v>
      </c>
      <c r="C36" s="2335"/>
      <c r="D36" s="2335"/>
      <c r="E36" s="3808"/>
      <c r="F36" s="3808"/>
      <c r="G36" s="3808"/>
    </row>
    <row r="37" spans="1:7" hidden="1">
      <c r="A37" s="2338">
        <v>4</v>
      </c>
      <c r="B37" s="2335" t="s">
        <v>2302</v>
      </c>
      <c r="C37" s="2335"/>
      <c r="D37" s="2335"/>
      <c r="E37" s="3808"/>
      <c r="F37" s="3808"/>
      <c r="G37" s="3808"/>
    </row>
    <row r="38" spans="1:7" hidden="1">
      <c r="A38" s="3809" t="s">
        <v>2303</v>
      </c>
      <c r="B38" s="3810"/>
      <c r="C38" s="3810"/>
      <c r="D38" s="3811"/>
      <c r="E38" s="3807"/>
      <c r="F38" s="3807"/>
      <c r="G38" s="38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baseColWidth="10" defaultColWidth="8.33203125" defaultRowHeight="13"/>
  <cols>
    <col min="1" max="1" width="9.33203125" style="2018" customWidth="1"/>
    <col min="2" max="2" width="26.6640625" style="2019" customWidth="1"/>
    <col min="3" max="3" width="11.1640625" style="2019" customWidth="1"/>
    <col min="4" max="5" width="11.1640625" style="2020" customWidth="1"/>
    <col min="6" max="6" width="9.5" style="2019" customWidth="1"/>
    <col min="7" max="7" width="31.83203125" style="2019" customWidth="1"/>
    <col min="8" max="25" width="9" style="2021" customWidth="1"/>
    <col min="26" max="254" width="9" style="2019" customWidth="1"/>
    <col min="255" max="16384" width="8.33203125" style="2019"/>
  </cols>
  <sheetData>
    <row r="1" spans="1:25" s="1895" customFormat="1" ht="20">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45">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1499</v>
      </c>
      <c r="D12" s="3207">
        <f>'数据-汇总表'!E5</f>
        <v>74951.23</v>
      </c>
      <c r="E12" s="3207">
        <f>'数据-取费表'!B27</f>
        <v>200</v>
      </c>
      <c r="F12" s="728"/>
      <c r="G12" s="731"/>
    </row>
    <row r="13" spans="1:25" s="2016" customFormat="1" ht="13.5" customHeight="1">
      <c r="A13" s="2281" t="s">
        <v>2220</v>
      </c>
      <c r="B13" s="729" t="s">
        <v>589</v>
      </c>
      <c r="C13" s="730">
        <f>ROUND(D13*E13/10000,0)</f>
        <v>131</v>
      </c>
      <c r="D13" s="3207">
        <f>'数据-汇总表'!E6</f>
        <v>8443.6199999999953</v>
      </c>
      <c r="E13" s="3207">
        <f>'数据-取费表'!B28</f>
        <v>155</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60">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8">
      <c r="A17" s="2276">
        <v>4</v>
      </c>
      <c r="B17" s="721" t="s">
        <v>593</v>
      </c>
      <c r="C17" s="2374">
        <f ca="1">ROUND(IF('数据-取费表'!B19&lt;=1,((C7+C16)*'数据-取费表'!B19+C10*'数据-取费表'!B19/2)*F17,((C7+C16)*(POWER((1+F17),'数据-取费表'!B19)-1)+C10*(POWER((1+F17),'数据-取费表'!B19/2)-1))),0)</f>
        <v>0</v>
      </c>
      <c r="D17" s="734"/>
      <c r="E17" s="735"/>
      <c r="F17" s="736">
        <f ca="1">存贷款利率!E3</f>
        <v>4.3499999999999997E-2</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1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ht="15">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0.92100000000000004</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2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4"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L20" sqref="L20"/>
    </sheetView>
  </sheetViews>
  <sheetFormatPr baseColWidth="10" defaultColWidth="9" defaultRowHeight="14"/>
  <cols>
    <col min="1" max="1" width="10.5" style="1246" customWidth="1"/>
    <col min="2" max="2" width="15.6640625" style="1246" customWidth="1"/>
    <col min="3" max="3" width="15.16406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56" t="s">
        <v>500</v>
      </c>
      <c r="D4" s="3657"/>
      <c r="E4" s="3691" t="s">
        <v>501</v>
      </c>
      <c r="F4" s="3692"/>
      <c r="G4" s="3656" t="s">
        <v>502</v>
      </c>
      <c r="H4" s="3657"/>
      <c r="I4" s="3656" t="s">
        <v>503</v>
      </c>
      <c r="J4" s="3657"/>
      <c r="K4" s="824"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3" t="s">
        <v>502</v>
      </c>
      <c r="AC4" s="3653" t="s">
        <v>503</v>
      </c>
    </row>
    <row r="5" spans="1:29">
      <c r="A5" s="491"/>
      <c r="B5" s="492"/>
      <c r="C5" s="3672" t="s">
        <v>2685</v>
      </c>
      <c r="D5" s="3673"/>
      <c r="E5" s="3693" t="s">
        <v>2686</v>
      </c>
      <c r="F5" s="3694"/>
      <c r="G5" s="3672" t="s">
        <v>2687</v>
      </c>
      <c r="H5" s="3673"/>
      <c r="I5" s="3672" t="s">
        <v>2688</v>
      </c>
      <c r="J5" s="3673"/>
      <c r="K5" s="825"/>
      <c r="L5" s="1967"/>
      <c r="M5" s="1968"/>
      <c r="N5" s="1968"/>
      <c r="O5" s="1968"/>
      <c r="P5" s="3660"/>
      <c r="Q5" s="3661"/>
      <c r="R5" s="3666"/>
      <c r="S5" s="3667"/>
      <c r="T5" s="3666"/>
      <c r="U5" s="3667"/>
      <c r="V5" s="3651"/>
      <c r="W5" s="3651"/>
      <c r="X5" s="1457"/>
      <c r="Y5" s="3666"/>
      <c r="Z5" s="3667"/>
      <c r="AA5" s="3654"/>
      <c r="AB5" s="3654"/>
      <c r="AC5" s="3654"/>
    </row>
    <row r="6" spans="1:29" ht="16" thickBot="1">
      <c r="A6" s="493"/>
      <c r="B6" s="494"/>
      <c r="C6" s="3670" t="s">
        <v>2689</v>
      </c>
      <c r="D6" s="3671"/>
      <c r="E6" s="3689" t="s">
        <v>2689</v>
      </c>
      <c r="F6" s="3690"/>
      <c r="G6" s="3670" t="s">
        <v>2689</v>
      </c>
      <c r="H6" s="3671"/>
      <c r="I6" s="3670" t="s">
        <v>2689</v>
      </c>
      <c r="J6" s="3671"/>
      <c r="K6" s="825" t="s">
        <v>506</v>
      </c>
      <c r="L6" s="1967"/>
      <c r="M6" s="1968"/>
      <c r="N6" s="1968"/>
      <c r="O6" s="1968"/>
      <c r="P6" s="3662"/>
      <c r="Q6" s="3663"/>
      <c r="R6" s="3666"/>
      <c r="S6" s="3667"/>
      <c r="T6" s="3668"/>
      <c r="U6" s="3669"/>
      <c r="V6" s="3651"/>
      <c r="W6" s="3651"/>
      <c r="X6" s="1457"/>
      <c r="Y6" s="3668"/>
      <c r="Z6" s="3669"/>
      <c r="AA6" s="3655"/>
      <c r="AB6" s="3655"/>
      <c r="AC6" s="3655"/>
    </row>
    <row r="7" spans="1:29" s="1166" customFormat="1" ht="16" thickBot="1">
      <c r="A7" s="2578"/>
      <c r="B7" s="2585" t="s">
        <v>507</v>
      </c>
      <c r="C7" s="495">
        <f>'数据-取费表'!B2</f>
        <v>44826</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80" t="s">
        <v>508</v>
      </c>
      <c r="Q7" s="3682"/>
      <c r="R7" s="1458" t="s">
        <v>13</v>
      </c>
      <c r="S7" s="1459">
        <f t="shared" ref="S7:S15" si="0">F7</f>
        <v>0</v>
      </c>
      <c r="T7" s="1458" t="s">
        <v>13</v>
      </c>
      <c r="U7" s="1459">
        <f t="shared" ref="U7:U15" si="1">H7</f>
        <v>0</v>
      </c>
      <c r="V7" s="1458" t="s">
        <v>13</v>
      </c>
      <c r="W7" s="1459">
        <f t="shared" ref="W7:W15"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80" t="s">
        <v>511</v>
      </c>
      <c r="Q8" s="3681"/>
      <c r="R8" s="1458" t="s">
        <v>13</v>
      </c>
      <c r="S8" s="1459">
        <f t="shared" si="0"/>
        <v>0</v>
      </c>
      <c r="T8" s="1458" t="s">
        <v>13</v>
      </c>
      <c r="U8" s="1459">
        <f t="shared" si="1"/>
        <v>0</v>
      </c>
      <c r="V8" s="1458" t="s">
        <v>13</v>
      </c>
      <c r="W8" s="1459">
        <f t="shared" si="2"/>
        <v>0</v>
      </c>
      <c r="X8" s="1460"/>
      <c r="Y8" s="3680" t="s">
        <v>511</v>
      </c>
      <c r="Z8" s="3681"/>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50"/>
      <c r="Q11" s="1097" t="str">
        <f t="shared" si="6"/>
        <v>容积率</v>
      </c>
      <c r="R11" s="1458" t="s">
        <v>11</v>
      </c>
      <c r="S11" s="1459" t="e">
        <f t="shared" si="0"/>
        <v>#N/A</v>
      </c>
      <c r="T11" s="1458" t="s">
        <v>11</v>
      </c>
      <c r="U11" s="1459" t="e">
        <f t="shared" si="1"/>
        <v>#N/A</v>
      </c>
      <c r="V11" s="1458" t="s">
        <v>11</v>
      </c>
      <c r="W11" s="1459" t="e">
        <f t="shared" si="2"/>
        <v>#N/A</v>
      </c>
      <c r="X11" s="1460"/>
      <c r="Y11" s="3594"/>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50"/>
      <c r="Q12" s="1097">
        <f t="shared" si="6"/>
        <v>111</v>
      </c>
      <c r="R12" s="1458" t="s">
        <v>11</v>
      </c>
      <c r="S12" s="1459">
        <f t="shared" si="0"/>
        <v>100</v>
      </c>
      <c r="T12" s="1458" t="s">
        <v>11</v>
      </c>
      <c r="U12" s="1459">
        <f t="shared" si="1"/>
        <v>100</v>
      </c>
      <c r="V12" s="1458" t="s">
        <v>11</v>
      </c>
      <c r="W12" s="1459">
        <f t="shared" si="2"/>
        <v>100</v>
      </c>
      <c r="X12" s="1460"/>
      <c r="Y12" s="3594"/>
      <c r="Z12" s="1096">
        <f t="shared" si="7"/>
        <v>111</v>
      </c>
      <c r="AA12" s="1461">
        <f>D12/F12</f>
        <v>1</v>
      </c>
      <c r="AB12" s="1461">
        <f>D12/H12</f>
        <v>1</v>
      </c>
      <c r="AC12" s="1461">
        <f>D12/J12</f>
        <v>1</v>
      </c>
    </row>
    <row r="13" spans="1:29" ht="16">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50"/>
      <c r="Q13" s="1097">
        <f t="shared" si="6"/>
        <v>111</v>
      </c>
      <c r="R13" s="1458" t="s">
        <v>11</v>
      </c>
      <c r="S13" s="1459">
        <f t="shared" si="0"/>
        <v>100</v>
      </c>
      <c r="T13" s="1458" t="s">
        <v>11</v>
      </c>
      <c r="U13" s="1459">
        <f t="shared" si="1"/>
        <v>100</v>
      </c>
      <c r="V13" s="1458" t="s">
        <v>11</v>
      </c>
      <c r="W13" s="1459">
        <f t="shared" si="2"/>
        <v>100</v>
      </c>
      <c r="X13" s="1460"/>
      <c r="Y13" s="3594"/>
      <c r="Z13" s="1096">
        <f t="shared" si="7"/>
        <v>111</v>
      </c>
      <c r="AA13" s="1461">
        <f t="shared" si="3"/>
        <v>1</v>
      </c>
      <c r="AB13" s="1461">
        <f t="shared" si="4"/>
        <v>1</v>
      </c>
      <c r="AC13" s="1461">
        <f t="shared" si="5"/>
        <v>1</v>
      </c>
    </row>
    <row r="14" spans="1:29" ht="17"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50"/>
      <c r="Q14" s="1097">
        <f t="shared" si="6"/>
        <v>111</v>
      </c>
      <c r="R14" s="1458" t="s">
        <v>11</v>
      </c>
      <c r="S14" s="1459">
        <f t="shared" si="0"/>
        <v>100</v>
      </c>
      <c r="T14" s="1458" t="s">
        <v>11</v>
      </c>
      <c r="U14" s="1459">
        <f t="shared" si="1"/>
        <v>100</v>
      </c>
      <c r="V14" s="1458" t="s">
        <v>11</v>
      </c>
      <c r="W14" s="1459">
        <f t="shared" si="2"/>
        <v>100</v>
      </c>
      <c r="X14" s="1460"/>
      <c r="Y14" s="3594"/>
      <c r="Z14" s="1096">
        <f t="shared" si="7"/>
        <v>111</v>
      </c>
      <c r="AA14" s="1461">
        <f t="shared" si="3"/>
        <v>1</v>
      </c>
      <c r="AB14" s="1461">
        <f t="shared" si="4"/>
        <v>1</v>
      </c>
      <c r="AC14" s="1461">
        <f t="shared" si="5"/>
        <v>1</v>
      </c>
    </row>
    <row r="15" spans="1:29" ht="10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83" t="s">
        <v>518</v>
      </c>
      <c r="Q15" s="1462" t="str">
        <f t="shared" si="6"/>
        <v>居住社区成熟度</v>
      </c>
      <c r="R15" s="1463" t="s">
        <v>11</v>
      </c>
      <c r="S15" s="1464">
        <f t="shared" si="0"/>
        <v>100</v>
      </c>
      <c r="T15" s="1463" t="s">
        <v>11</v>
      </c>
      <c r="U15" s="1464">
        <f t="shared" si="1"/>
        <v>100</v>
      </c>
      <c r="V15" s="1463" t="s">
        <v>11</v>
      </c>
      <c r="W15" s="1464">
        <f t="shared" si="2"/>
        <v>100</v>
      </c>
      <c r="X15" s="1457"/>
      <c r="Y15" s="3683" t="s">
        <v>518</v>
      </c>
      <c r="Z15" s="1465" t="str">
        <f t="shared" si="7"/>
        <v>居住社区成熟度</v>
      </c>
      <c r="AA15" s="1466">
        <f t="shared" si="3"/>
        <v>1</v>
      </c>
      <c r="AB15" s="1466">
        <f t="shared" si="4"/>
        <v>1</v>
      </c>
      <c r="AC15" s="1466">
        <f t="shared" si="5"/>
        <v>1</v>
      </c>
    </row>
    <row r="16" spans="1:29" ht="16">
      <c r="A16" s="508"/>
      <c r="B16" s="840"/>
      <c r="C16" s="552"/>
      <c r="D16" s="531"/>
      <c r="E16" s="532"/>
      <c r="F16" s="533"/>
      <c r="G16" s="534"/>
      <c r="H16" s="535"/>
      <c r="I16" s="532"/>
      <c r="J16" s="531"/>
      <c r="K16" s="841"/>
      <c r="L16" s="1976"/>
      <c r="M16" s="1968"/>
      <c r="N16" s="1968"/>
      <c r="O16" s="1975"/>
      <c r="P16" s="3684"/>
      <c r="Q16" s="1462"/>
      <c r="R16" s="1463"/>
      <c r="S16" s="1464"/>
      <c r="T16" s="1463"/>
      <c r="U16" s="1464"/>
      <c r="V16" s="1463"/>
      <c r="W16" s="1464"/>
      <c r="X16" s="1457"/>
      <c r="Y16" s="3684"/>
      <c r="Z16" s="1465"/>
      <c r="AA16" s="1466">
        <v>1</v>
      </c>
      <c r="AB16" s="1466">
        <v>1</v>
      </c>
      <c r="AC16" s="1466">
        <v>1</v>
      </c>
    </row>
    <row r="17" spans="1:29" ht="9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84"/>
      <c r="Q17" s="1462" t="str">
        <f>B17</f>
        <v>交通便捷度</v>
      </c>
      <c r="R17" s="1463" t="s">
        <v>11</v>
      </c>
      <c r="S17" s="1464">
        <f>F17</f>
        <v>100</v>
      </c>
      <c r="T17" s="1463" t="s">
        <v>11</v>
      </c>
      <c r="U17" s="1464">
        <f>H17</f>
        <v>100</v>
      </c>
      <c r="V17" s="1463" t="s">
        <v>11</v>
      </c>
      <c r="W17" s="1464">
        <f>J17</f>
        <v>100</v>
      </c>
      <c r="X17" s="1457"/>
      <c r="Y17" s="3684"/>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41"/>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84"/>
      <c r="Q19" s="1462" t="str">
        <f>B19</f>
        <v>公共配套设施</v>
      </c>
      <c r="R19" s="1463" t="s">
        <v>11</v>
      </c>
      <c r="S19" s="1464">
        <f>F19</f>
        <v>100</v>
      </c>
      <c r="T19" s="1463" t="s">
        <v>11</v>
      </c>
      <c r="U19" s="1464">
        <f>H19</f>
        <v>100</v>
      </c>
      <c r="V19" s="1463" t="s">
        <v>11</v>
      </c>
      <c r="W19" s="1464">
        <f>J19</f>
        <v>100</v>
      </c>
      <c r="X19" s="1457"/>
      <c r="Y19" s="3684"/>
      <c r="Z19" s="1465" t="str">
        <f>Q19</f>
        <v>公共配套设施</v>
      </c>
      <c r="AA19" s="1466">
        <f t="shared" si="3"/>
        <v>1</v>
      </c>
      <c r="AB19" s="1466">
        <f t="shared" si="4"/>
        <v>1</v>
      </c>
      <c r="AC19" s="1466">
        <f t="shared" si="5"/>
        <v>1</v>
      </c>
    </row>
    <row r="20" spans="1:29" ht="16">
      <c r="A20" s="508"/>
      <c r="B20" s="571"/>
      <c r="C20" s="552"/>
      <c r="D20" s="531"/>
      <c r="E20" s="532"/>
      <c r="F20" s="533"/>
      <c r="G20" s="534"/>
      <c r="H20" s="531"/>
      <c r="I20" s="532"/>
      <c r="J20" s="531"/>
      <c r="K20" s="841"/>
      <c r="L20" s="1976"/>
      <c r="M20" s="1968"/>
      <c r="N20" s="1968"/>
      <c r="O20" s="1975"/>
      <c r="P20" s="3684"/>
      <c r="Q20" s="1462"/>
      <c r="R20" s="1463"/>
      <c r="S20" s="1464"/>
      <c r="T20" s="1463"/>
      <c r="U20" s="1464"/>
      <c r="V20" s="1463"/>
      <c r="W20" s="1464"/>
      <c r="X20" s="1457"/>
      <c r="Y20" s="3684"/>
      <c r="Z20" s="1465"/>
      <c r="AA20" s="1466">
        <v>1</v>
      </c>
      <c r="AB20" s="1466">
        <v>1</v>
      </c>
      <c r="AC20" s="1466">
        <v>1</v>
      </c>
    </row>
    <row r="21" spans="1:29" ht="30">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84"/>
      <c r="Q21" s="2378" t="str">
        <f>B21</f>
        <v>基础设施水平</v>
      </c>
      <c r="R21" s="1463" t="s">
        <v>11</v>
      </c>
      <c r="S21" s="1464">
        <f>F21</f>
        <v>100</v>
      </c>
      <c r="T21" s="1463" t="s">
        <v>11</v>
      </c>
      <c r="U21" s="1464">
        <f>H21</f>
        <v>100</v>
      </c>
      <c r="V21" s="1463" t="s">
        <v>11</v>
      </c>
      <c r="W21" s="1464">
        <f>J21</f>
        <v>100</v>
      </c>
      <c r="X21" s="2380"/>
      <c r="Y21" s="3684"/>
      <c r="Z21" s="2379" t="str">
        <f>Q21</f>
        <v>基础设施水平</v>
      </c>
      <c r="AA21" s="1466">
        <f t="shared" ref="AA21" si="8">D21/F21</f>
        <v>1</v>
      </c>
      <c r="AB21" s="1466">
        <f t="shared" ref="AB21" si="9">D21/H21</f>
        <v>1</v>
      </c>
      <c r="AC21" s="1466">
        <f t="shared" ref="AC21" si="10">D21/J21</f>
        <v>1</v>
      </c>
    </row>
    <row r="22" spans="1:29" ht="16">
      <c r="A22" s="508"/>
      <c r="B22" s="893"/>
      <c r="C22" s="844"/>
      <c r="D22" s="531"/>
      <c r="E22" s="552"/>
      <c r="F22" s="533"/>
      <c r="G22" s="552"/>
      <c r="H22" s="531"/>
      <c r="I22" s="552"/>
      <c r="J22" s="531"/>
      <c r="K22" s="2392"/>
      <c r="L22" s="1976"/>
      <c r="M22" s="1968"/>
      <c r="N22" s="1968"/>
      <c r="O22" s="1975"/>
      <c r="P22" s="3684"/>
      <c r="Q22" s="2378"/>
      <c r="R22" s="1463"/>
      <c r="S22" s="1464"/>
      <c r="T22" s="1463"/>
      <c r="U22" s="1464"/>
      <c r="V22" s="1463"/>
      <c r="W22" s="1464"/>
      <c r="X22" s="2380"/>
      <c r="Y22" s="3684"/>
      <c r="Z22" s="2379"/>
      <c r="AA22" s="1466">
        <v>1</v>
      </c>
      <c r="AB22" s="1466">
        <v>1</v>
      </c>
      <c r="AC22" s="1466">
        <v>1</v>
      </c>
    </row>
    <row r="23" spans="1:29" ht="60">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84"/>
      <c r="Q23" s="1462" t="str">
        <f>B23</f>
        <v>自然及人文环境</v>
      </c>
      <c r="R23" s="1463" t="s">
        <v>11</v>
      </c>
      <c r="S23" s="1464">
        <f>F23</f>
        <v>100</v>
      </c>
      <c r="T23" s="1463" t="s">
        <v>11</v>
      </c>
      <c r="U23" s="1464">
        <f>H23</f>
        <v>100</v>
      </c>
      <c r="V23" s="1463" t="s">
        <v>11</v>
      </c>
      <c r="W23" s="1464">
        <f>J23</f>
        <v>100</v>
      </c>
      <c r="X23" s="1457"/>
      <c r="Y23" s="3684"/>
      <c r="Z23" s="1465" t="str">
        <f>Q23</f>
        <v>自然及人文环境</v>
      </c>
      <c r="AA23" s="1466">
        <f t="shared" si="3"/>
        <v>1</v>
      </c>
      <c r="AB23" s="1466">
        <f t="shared" si="4"/>
        <v>1</v>
      </c>
      <c r="AC23" s="1466">
        <f t="shared" si="5"/>
        <v>1</v>
      </c>
    </row>
    <row r="24" spans="1:29" ht="16">
      <c r="A24" s="508"/>
      <c r="B24" s="571"/>
      <c r="C24" s="552"/>
      <c r="D24" s="531"/>
      <c r="E24" s="532"/>
      <c r="F24" s="533"/>
      <c r="G24" s="534"/>
      <c r="H24" s="531"/>
      <c r="I24" s="532"/>
      <c r="J24" s="531"/>
      <c r="K24" s="841"/>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6">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84"/>
      <c r="Q25" s="1462" t="str">
        <f t="shared" ref="Q25:Q46" si="11">B25</f>
        <v>楼层-1</v>
      </c>
      <c r="R25" s="1463" t="s">
        <v>11</v>
      </c>
      <c r="S25" s="1464">
        <f>F25</f>
        <v>100</v>
      </c>
      <c r="T25" s="1463" t="s">
        <v>11</v>
      </c>
      <c r="U25" s="1464">
        <f>H25</f>
        <v>100</v>
      </c>
      <c r="V25" s="1463" t="s">
        <v>11</v>
      </c>
      <c r="W25" s="1464">
        <f>J25</f>
        <v>100</v>
      </c>
      <c r="X25" s="1457"/>
      <c r="Y25" s="3684"/>
      <c r="Z25" s="1465" t="str">
        <f>Q25</f>
        <v>楼层-1</v>
      </c>
      <c r="AA25" s="1466">
        <f t="shared" si="3"/>
        <v>1</v>
      </c>
      <c r="AB25" s="1466">
        <f t="shared" si="4"/>
        <v>1</v>
      </c>
      <c r="AC25" s="1466">
        <f t="shared" si="5"/>
        <v>1</v>
      </c>
    </row>
    <row r="26" spans="1:29" ht="16">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84"/>
      <c r="Q26" s="1462" t="str">
        <f t="shared" si="11"/>
        <v>朝向</v>
      </c>
      <c r="R26" s="1463" t="s">
        <v>11</v>
      </c>
      <c r="S26" s="1464">
        <f>F26</f>
        <v>100</v>
      </c>
      <c r="T26" s="1463" t="s">
        <v>11</v>
      </c>
      <c r="U26" s="1464">
        <f>H26</f>
        <v>100</v>
      </c>
      <c r="V26" s="1463" t="s">
        <v>11</v>
      </c>
      <c r="W26" s="1464">
        <f>J26</f>
        <v>100</v>
      </c>
      <c r="X26" s="1457"/>
      <c r="Y26" s="3684"/>
      <c r="Z26" s="1465" t="str">
        <f>Q26</f>
        <v>朝向</v>
      </c>
      <c r="AA26" s="1466">
        <f t="shared" si="3"/>
        <v>1</v>
      </c>
      <c r="AB26" s="1466">
        <f t="shared" si="4"/>
        <v>1</v>
      </c>
      <c r="AC26" s="1466">
        <f t="shared" si="5"/>
        <v>1</v>
      </c>
    </row>
    <row r="27" spans="1:29" s="1166" customFormat="1" ht="16">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84"/>
      <c r="Q27" s="1097" t="str">
        <f t="shared" si="11"/>
        <v>道路级别</v>
      </c>
      <c r="R27" s="1458" t="s">
        <v>11</v>
      </c>
      <c r="S27" s="1459">
        <f>F27</f>
        <v>100</v>
      </c>
      <c r="T27" s="1458" t="s">
        <v>11</v>
      </c>
      <c r="U27" s="1459">
        <f>H27</f>
        <v>100</v>
      </c>
      <c r="V27" s="1458" t="s">
        <v>11</v>
      </c>
      <c r="W27" s="1459">
        <f>J27</f>
        <v>100</v>
      </c>
      <c r="X27" s="1460"/>
      <c r="Y27" s="3684"/>
      <c r="Z27" s="1096" t="str">
        <f>Q27</f>
        <v>道路级别</v>
      </c>
      <c r="AA27" s="1466">
        <f>D27/F27</f>
        <v>1</v>
      </c>
      <c r="AB27" s="1466">
        <f>D27/H27</f>
        <v>1</v>
      </c>
      <c r="AC27" s="1466">
        <f>D27/J27</f>
        <v>1</v>
      </c>
    </row>
    <row r="28" spans="1:29" ht="16">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84"/>
      <c r="Q28" s="1462">
        <f t="shared" si="11"/>
        <v>111</v>
      </c>
      <c r="R28" s="1463" t="s">
        <v>11</v>
      </c>
      <c r="S28" s="1464">
        <f t="shared" ref="S28:S46" si="12">F28</f>
        <v>100</v>
      </c>
      <c r="T28" s="1463" t="s">
        <v>11</v>
      </c>
      <c r="U28" s="1464">
        <f t="shared" ref="U28:U46" si="13">H28</f>
        <v>100</v>
      </c>
      <c r="V28" s="1463" t="s">
        <v>11</v>
      </c>
      <c r="W28" s="1464">
        <f t="shared" ref="W28:W46" si="14">J28</f>
        <v>100</v>
      </c>
      <c r="X28" s="1457"/>
      <c r="Y28" s="3684"/>
      <c r="Z28" s="1465">
        <f t="shared" ref="Z28:Z46" si="15">Q28</f>
        <v>111</v>
      </c>
      <c r="AA28" s="1466">
        <f t="shared" si="3"/>
        <v>1</v>
      </c>
      <c r="AB28" s="1466">
        <f t="shared" si="4"/>
        <v>1</v>
      </c>
      <c r="AC28" s="1466">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84"/>
      <c r="Q29" s="1462">
        <f t="shared" si="11"/>
        <v>111</v>
      </c>
      <c r="R29" s="1463" t="s">
        <v>11</v>
      </c>
      <c r="S29" s="1464">
        <f t="shared" si="12"/>
        <v>100</v>
      </c>
      <c r="T29" s="1463" t="s">
        <v>11</v>
      </c>
      <c r="U29" s="1464">
        <f t="shared" si="13"/>
        <v>100</v>
      </c>
      <c r="V29" s="1463" t="s">
        <v>11</v>
      </c>
      <c r="W29" s="1464">
        <f t="shared" si="14"/>
        <v>100</v>
      </c>
      <c r="X29" s="1457"/>
      <c r="Y29" s="3684"/>
      <c r="Z29" s="1465">
        <f t="shared" si="15"/>
        <v>111</v>
      </c>
      <c r="AA29" s="1466">
        <f t="shared" si="3"/>
        <v>1</v>
      </c>
      <c r="AB29" s="1466">
        <f t="shared" si="4"/>
        <v>1</v>
      </c>
      <c r="AC29" s="1466">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84"/>
      <c r="Q30" s="1462">
        <f t="shared" si="11"/>
        <v>111</v>
      </c>
      <c r="R30" s="1463" t="s">
        <v>11</v>
      </c>
      <c r="S30" s="1464">
        <f t="shared" si="12"/>
        <v>100</v>
      </c>
      <c r="T30" s="1463" t="s">
        <v>11</v>
      </c>
      <c r="U30" s="1464">
        <f t="shared" si="13"/>
        <v>100</v>
      </c>
      <c r="V30" s="1463" t="s">
        <v>11</v>
      </c>
      <c r="W30" s="1464">
        <f t="shared" si="14"/>
        <v>100</v>
      </c>
      <c r="X30" s="1457"/>
      <c r="Y30" s="3684"/>
      <c r="Z30" s="1465">
        <f t="shared" si="15"/>
        <v>111</v>
      </c>
      <c r="AA30" s="1466">
        <f t="shared" si="3"/>
        <v>1</v>
      </c>
      <c r="AB30" s="1466">
        <f t="shared" si="4"/>
        <v>1</v>
      </c>
      <c r="AC30" s="1466">
        <f t="shared" si="5"/>
        <v>1</v>
      </c>
    </row>
    <row r="31" spans="1:29" ht="17"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84"/>
      <c r="Q31" s="1462">
        <f t="shared" si="11"/>
        <v>111</v>
      </c>
      <c r="R31" s="1463" t="s">
        <v>11</v>
      </c>
      <c r="S31" s="1464">
        <f t="shared" si="12"/>
        <v>100</v>
      </c>
      <c r="T31" s="1463" t="s">
        <v>11</v>
      </c>
      <c r="U31" s="1464">
        <f t="shared" si="13"/>
        <v>100</v>
      </c>
      <c r="V31" s="1463" t="s">
        <v>11</v>
      </c>
      <c r="W31" s="1464">
        <f t="shared" si="14"/>
        <v>100</v>
      </c>
      <c r="X31" s="1457"/>
      <c r="Y31" s="3684"/>
      <c r="Z31" s="1465">
        <f t="shared" si="15"/>
        <v>111</v>
      </c>
      <c r="AA31" s="1466">
        <f t="shared" si="3"/>
        <v>1</v>
      </c>
      <c r="AB31" s="1466">
        <f t="shared" si="4"/>
        <v>1</v>
      </c>
      <c r="AC31" s="1466">
        <f t="shared" si="5"/>
        <v>1</v>
      </c>
    </row>
    <row r="32" spans="1:29" ht="16">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85" t="s">
        <v>528</v>
      </c>
      <c r="Q32" s="1462" t="str">
        <f t="shared" si="11"/>
        <v>建筑类型</v>
      </c>
      <c r="R32" s="1463" t="s">
        <v>11</v>
      </c>
      <c r="S32" s="1464">
        <f t="shared" si="12"/>
        <v>100</v>
      </c>
      <c r="T32" s="1463" t="s">
        <v>11</v>
      </c>
      <c r="U32" s="1464">
        <f t="shared" si="13"/>
        <v>100</v>
      </c>
      <c r="V32" s="1463" t="s">
        <v>11</v>
      </c>
      <c r="W32" s="1464">
        <f t="shared" si="14"/>
        <v>100</v>
      </c>
      <c r="X32" s="1457"/>
      <c r="Y32" s="3686" t="s">
        <v>528</v>
      </c>
      <c r="Z32" s="1465" t="str">
        <f t="shared" si="15"/>
        <v>建筑类型</v>
      </c>
      <c r="AA32" s="1466">
        <f t="shared" si="3"/>
        <v>1</v>
      </c>
      <c r="AB32" s="1466">
        <f t="shared" si="4"/>
        <v>1</v>
      </c>
      <c r="AC32" s="1466">
        <f t="shared" si="5"/>
        <v>1</v>
      </c>
    </row>
    <row r="33" spans="1:29" s="1248" customFormat="1" ht="16">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86"/>
      <c r="Q33" s="1491" t="str">
        <f t="shared" si="11"/>
        <v>项目建筑规模</v>
      </c>
      <c r="R33" s="1467" t="s">
        <v>11</v>
      </c>
      <c r="S33" s="1468" t="e">
        <f t="shared" si="12"/>
        <v>#N/A</v>
      </c>
      <c r="T33" s="1467" t="s">
        <v>11</v>
      </c>
      <c r="U33" s="1468" t="e">
        <f t="shared" si="13"/>
        <v>#N/A</v>
      </c>
      <c r="V33" s="1467" t="s">
        <v>11</v>
      </c>
      <c r="W33" s="1468" t="e">
        <f t="shared" si="14"/>
        <v>#N/A</v>
      </c>
      <c r="X33" s="1469"/>
      <c r="Y33" s="3686"/>
      <c r="Z33" s="1470" t="str">
        <f t="shared" si="15"/>
        <v>项目建筑规模</v>
      </c>
      <c r="AA33" s="1466" t="e">
        <f t="shared" si="3"/>
        <v>#N/A</v>
      </c>
      <c r="AB33" s="1466" t="e">
        <f t="shared" si="4"/>
        <v>#N/A</v>
      </c>
      <c r="AC33" s="1466" t="e">
        <f t="shared" si="5"/>
        <v>#N/A</v>
      </c>
    </row>
    <row r="34" spans="1:29" ht="16">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86"/>
      <c r="Q34" s="1462" t="str">
        <f t="shared" si="11"/>
        <v>建筑结构</v>
      </c>
      <c r="R34" s="1463" t="s">
        <v>11</v>
      </c>
      <c r="S34" s="1464">
        <f t="shared" si="12"/>
        <v>100</v>
      </c>
      <c r="T34" s="1463" t="s">
        <v>11</v>
      </c>
      <c r="U34" s="1464">
        <f t="shared" si="13"/>
        <v>100</v>
      </c>
      <c r="V34" s="1463" t="s">
        <v>11</v>
      </c>
      <c r="W34" s="1464">
        <f t="shared" si="14"/>
        <v>100</v>
      </c>
      <c r="X34" s="1457"/>
      <c r="Y34" s="3686"/>
      <c r="Z34" s="1465" t="str">
        <f t="shared" si="15"/>
        <v>建筑结构</v>
      </c>
      <c r="AA34" s="1466">
        <f t="shared" si="3"/>
        <v>1</v>
      </c>
      <c r="AB34" s="1466">
        <f t="shared" si="4"/>
        <v>1</v>
      </c>
      <c r="AC34" s="1466">
        <f t="shared" si="5"/>
        <v>1</v>
      </c>
    </row>
    <row r="35" spans="1:29" ht="16">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86"/>
      <c r="Q35" s="1462" t="str">
        <f t="shared" si="11"/>
        <v>建筑品质</v>
      </c>
      <c r="R35" s="1463" t="s">
        <v>11</v>
      </c>
      <c r="S35" s="1464">
        <f t="shared" si="12"/>
        <v>100</v>
      </c>
      <c r="T35" s="1463" t="s">
        <v>11</v>
      </c>
      <c r="U35" s="1464">
        <f t="shared" si="13"/>
        <v>100</v>
      </c>
      <c r="V35" s="1463" t="s">
        <v>11</v>
      </c>
      <c r="W35" s="1464">
        <f t="shared" si="14"/>
        <v>100</v>
      </c>
      <c r="X35" s="1457"/>
      <c r="Y35" s="3686"/>
      <c r="Z35" s="1465" t="str">
        <f t="shared" si="15"/>
        <v>建筑品质</v>
      </c>
      <c r="AA35" s="1466">
        <f t="shared" si="3"/>
        <v>1</v>
      </c>
      <c r="AB35" s="1466">
        <f t="shared" si="4"/>
        <v>1</v>
      </c>
      <c r="AC35" s="1466">
        <f t="shared" si="5"/>
        <v>1</v>
      </c>
    </row>
    <row r="36" spans="1:29" ht="16">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86"/>
      <c r="Q36" s="1462" t="str">
        <f t="shared" si="11"/>
        <v>公共部分装修</v>
      </c>
      <c r="R36" s="1463" t="s">
        <v>11</v>
      </c>
      <c r="S36" s="1464">
        <f t="shared" si="12"/>
        <v>100</v>
      </c>
      <c r="T36" s="1463" t="s">
        <v>11</v>
      </c>
      <c r="U36" s="1464">
        <f t="shared" si="13"/>
        <v>100</v>
      </c>
      <c r="V36" s="1463" t="s">
        <v>11</v>
      </c>
      <c r="W36" s="1464">
        <f t="shared" si="14"/>
        <v>100</v>
      </c>
      <c r="X36" s="1457"/>
      <c r="Y36" s="3686"/>
      <c r="Z36" s="1465" t="str">
        <f t="shared" si="15"/>
        <v>公共部分装修</v>
      </c>
      <c r="AA36" s="1466">
        <f t="shared" si="3"/>
        <v>1</v>
      </c>
      <c r="AB36" s="1466">
        <f t="shared" si="4"/>
        <v>1</v>
      </c>
      <c r="AC36" s="1466">
        <f t="shared" si="5"/>
        <v>1</v>
      </c>
    </row>
    <row r="37" spans="1:29" s="1166" customFormat="1" ht="16">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86"/>
      <c r="Q37" s="1097" t="str">
        <f t="shared" si="11"/>
        <v>成新度</v>
      </c>
      <c r="R37" s="1458" t="s">
        <v>11</v>
      </c>
      <c r="S37" s="1459" t="e">
        <f t="shared" si="12"/>
        <v>#N/A</v>
      </c>
      <c r="T37" s="1458" t="s">
        <v>11</v>
      </c>
      <c r="U37" s="1459" t="e">
        <f t="shared" si="13"/>
        <v>#N/A</v>
      </c>
      <c r="V37" s="1458" t="s">
        <v>11</v>
      </c>
      <c r="W37" s="1459" t="e">
        <f t="shared" si="14"/>
        <v>#N/A</v>
      </c>
      <c r="X37" s="1460"/>
      <c r="Y37" s="3686"/>
      <c r="Z37" s="1096" t="str">
        <f t="shared" si="15"/>
        <v>成新度</v>
      </c>
      <c r="AA37" s="1461" t="e">
        <f t="shared" si="3"/>
        <v>#N/A</v>
      </c>
      <c r="AB37" s="1461" t="e">
        <f t="shared" si="4"/>
        <v>#N/A</v>
      </c>
      <c r="AC37" s="1461" t="e">
        <f t="shared" si="5"/>
        <v>#N/A</v>
      </c>
    </row>
    <row r="38" spans="1:29" ht="16">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86" t="s">
        <v>528</v>
      </c>
      <c r="Q38" s="1462" t="str">
        <f t="shared" si="11"/>
        <v>物业管理</v>
      </c>
      <c r="R38" s="1463" t="s">
        <v>11</v>
      </c>
      <c r="S38" s="1464">
        <f t="shared" si="12"/>
        <v>100</v>
      </c>
      <c r="T38" s="1463" t="s">
        <v>11</v>
      </c>
      <c r="U38" s="1464">
        <f t="shared" si="13"/>
        <v>100</v>
      </c>
      <c r="V38" s="1463" t="s">
        <v>11</v>
      </c>
      <c r="W38" s="1464">
        <f t="shared" si="14"/>
        <v>100</v>
      </c>
      <c r="X38" s="1457"/>
      <c r="Y38" s="3686" t="s">
        <v>528</v>
      </c>
      <c r="Z38" s="1465" t="str">
        <f t="shared" si="15"/>
        <v>物业管理</v>
      </c>
      <c r="AA38" s="1466">
        <f t="shared" si="3"/>
        <v>1</v>
      </c>
      <c r="AB38" s="1466">
        <f t="shared" si="4"/>
        <v>1</v>
      </c>
      <c r="AC38" s="1466">
        <f t="shared" si="5"/>
        <v>1</v>
      </c>
    </row>
    <row r="39" spans="1:29" ht="16">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86"/>
      <c r="Q39" s="1462" t="str">
        <f t="shared" si="11"/>
        <v>市政基础设施</v>
      </c>
      <c r="R39" s="1463" t="s">
        <v>11</v>
      </c>
      <c r="S39" s="1464">
        <f t="shared" si="12"/>
        <v>100</v>
      </c>
      <c r="T39" s="1463" t="s">
        <v>11</v>
      </c>
      <c r="U39" s="1464">
        <f t="shared" si="13"/>
        <v>100</v>
      </c>
      <c r="V39" s="1463" t="s">
        <v>11</v>
      </c>
      <c r="W39" s="1464">
        <f t="shared" si="14"/>
        <v>100</v>
      </c>
      <c r="X39" s="1457"/>
      <c r="Y39" s="3686"/>
      <c r="Z39" s="1465" t="str">
        <f t="shared" si="15"/>
        <v>市政基础设施</v>
      </c>
      <c r="AA39" s="1466">
        <f t="shared" si="3"/>
        <v>1</v>
      </c>
      <c r="AB39" s="1466">
        <f t="shared" si="4"/>
        <v>1</v>
      </c>
      <c r="AC39" s="1466">
        <f t="shared" si="5"/>
        <v>1</v>
      </c>
    </row>
    <row r="40" spans="1:29" ht="16">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86"/>
      <c r="Q40" s="1462" t="str">
        <f t="shared" si="11"/>
        <v>房型</v>
      </c>
      <c r="R40" s="1463" t="s">
        <v>11</v>
      </c>
      <c r="S40" s="1464">
        <f t="shared" si="12"/>
        <v>100</v>
      </c>
      <c r="T40" s="1463" t="s">
        <v>11</v>
      </c>
      <c r="U40" s="1464">
        <f t="shared" si="13"/>
        <v>100</v>
      </c>
      <c r="V40" s="1463" t="s">
        <v>11</v>
      </c>
      <c r="W40" s="1464">
        <f t="shared" si="14"/>
        <v>100</v>
      </c>
      <c r="X40" s="1457"/>
      <c r="Y40" s="3686"/>
      <c r="Z40" s="1465" t="str">
        <f t="shared" si="15"/>
        <v>房型</v>
      </c>
      <c r="AA40" s="1466">
        <f t="shared" si="3"/>
        <v>1</v>
      </c>
      <c r="AB40" s="1466">
        <f t="shared" si="4"/>
        <v>1</v>
      </c>
      <c r="AC40" s="1466">
        <f t="shared" si="5"/>
        <v>1</v>
      </c>
    </row>
    <row r="41" spans="1:29" s="1248" customFormat="1" ht="30">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86"/>
      <c r="Q41" s="1491" t="str">
        <f t="shared" si="11"/>
        <v>单套/主力户型建筑面积</v>
      </c>
      <c r="R41" s="1467" t="s">
        <v>11</v>
      </c>
      <c r="S41" s="1468">
        <f t="shared" si="12"/>
        <v>100</v>
      </c>
      <c r="T41" s="1467" t="s">
        <v>11</v>
      </c>
      <c r="U41" s="1468">
        <f t="shared" si="13"/>
        <v>100</v>
      </c>
      <c r="V41" s="1467" t="s">
        <v>11</v>
      </c>
      <c r="W41" s="1468">
        <f t="shared" si="14"/>
        <v>100</v>
      </c>
      <c r="X41" s="1469"/>
      <c r="Y41" s="3686"/>
      <c r="Z41" s="1470" t="str">
        <f t="shared" si="15"/>
        <v>单套/主力户型建筑面积</v>
      </c>
      <c r="AA41" s="1466">
        <f t="shared" si="3"/>
        <v>1</v>
      </c>
      <c r="AB41" s="1466">
        <f t="shared" si="4"/>
        <v>1</v>
      </c>
      <c r="AC41" s="1466">
        <f t="shared" si="5"/>
        <v>1</v>
      </c>
    </row>
    <row r="42" spans="1:29" ht="16">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86"/>
      <c r="Q42" s="1462" t="str">
        <f t="shared" si="11"/>
        <v>内部装修</v>
      </c>
      <c r="R42" s="1463" t="s">
        <v>11</v>
      </c>
      <c r="S42" s="1464">
        <f t="shared" si="12"/>
        <v>100</v>
      </c>
      <c r="T42" s="1463" t="s">
        <v>11</v>
      </c>
      <c r="U42" s="1464">
        <f t="shared" si="13"/>
        <v>100</v>
      </c>
      <c r="V42" s="1463" t="s">
        <v>11</v>
      </c>
      <c r="W42" s="1464">
        <f t="shared" si="14"/>
        <v>100</v>
      </c>
      <c r="X42" s="1457"/>
      <c r="Y42" s="3686"/>
      <c r="Z42" s="1465" t="str">
        <f t="shared" si="15"/>
        <v>内部装修</v>
      </c>
      <c r="AA42" s="1466">
        <f t="shared" si="3"/>
        <v>1</v>
      </c>
      <c r="AB42" s="1466">
        <f t="shared" si="4"/>
        <v>1</v>
      </c>
      <c r="AC42" s="1466">
        <f t="shared" si="5"/>
        <v>1</v>
      </c>
    </row>
    <row r="43" spans="1:29" ht="16">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86"/>
      <c r="Q43" s="1462" t="str">
        <f t="shared" si="11"/>
        <v>内部装修维护情况</v>
      </c>
      <c r="R43" s="1463" t="s">
        <v>11</v>
      </c>
      <c r="S43" s="1464">
        <f t="shared" si="12"/>
        <v>100</v>
      </c>
      <c r="T43" s="1463" t="s">
        <v>11</v>
      </c>
      <c r="U43" s="1464">
        <f t="shared" si="13"/>
        <v>100</v>
      </c>
      <c r="V43" s="1463" t="s">
        <v>11</v>
      </c>
      <c r="W43" s="1464">
        <f t="shared" si="14"/>
        <v>100</v>
      </c>
      <c r="X43" s="1457"/>
      <c r="Y43" s="3686"/>
      <c r="Z43" s="1465" t="str">
        <f t="shared" si="15"/>
        <v>内部装修维护情况</v>
      </c>
      <c r="AA43" s="1466">
        <f t="shared" si="3"/>
        <v>1</v>
      </c>
      <c r="AB43" s="1466">
        <f t="shared" si="4"/>
        <v>1</v>
      </c>
      <c r="AC43" s="1466">
        <f t="shared" si="5"/>
        <v>1</v>
      </c>
    </row>
    <row r="44" spans="1:29" s="1166" customFormat="1" ht="16">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86"/>
      <c r="Q44" s="1097">
        <f t="shared" si="11"/>
        <v>111</v>
      </c>
      <c r="R44" s="1458" t="s">
        <v>11</v>
      </c>
      <c r="S44" s="1459">
        <f t="shared" si="12"/>
        <v>100</v>
      </c>
      <c r="T44" s="1458" t="s">
        <v>11</v>
      </c>
      <c r="U44" s="1459">
        <f t="shared" si="13"/>
        <v>100</v>
      </c>
      <c r="V44" s="1458" t="s">
        <v>11</v>
      </c>
      <c r="W44" s="1459">
        <f t="shared" si="14"/>
        <v>100</v>
      </c>
      <c r="X44" s="1460"/>
      <c r="Y44" s="3686"/>
      <c r="Z44" s="1096">
        <f t="shared" si="15"/>
        <v>111</v>
      </c>
      <c r="AA44" s="1461">
        <f t="shared" si="3"/>
        <v>1</v>
      </c>
      <c r="AB44" s="1461">
        <f t="shared" si="4"/>
        <v>1</v>
      </c>
      <c r="AC44" s="1461">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86"/>
      <c r="Q45" s="1462">
        <f t="shared" si="11"/>
        <v>111</v>
      </c>
      <c r="R45" s="1463" t="s">
        <v>11</v>
      </c>
      <c r="S45" s="1464">
        <f t="shared" si="12"/>
        <v>100</v>
      </c>
      <c r="T45" s="1463" t="s">
        <v>11</v>
      </c>
      <c r="U45" s="1464">
        <f t="shared" si="13"/>
        <v>100</v>
      </c>
      <c r="V45" s="1463" t="s">
        <v>11</v>
      </c>
      <c r="W45" s="1464">
        <f t="shared" si="14"/>
        <v>100</v>
      </c>
      <c r="X45" s="1457"/>
      <c r="Y45" s="3686"/>
      <c r="Z45" s="1465">
        <f t="shared" si="15"/>
        <v>111</v>
      </c>
      <c r="AA45" s="1466">
        <f t="shared" si="3"/>
        <v>1</v>
      </c>
      <c r="AB45" s="1466">
        <f t="shared" si="4"/>
        <v>1</v>
      </c>
      <c r="AC45" s="1466">
        <f t="shared" si="5"/>
        <v>1</v>
      </c>
    </row>
    <row r="46" spans="1:29" ht="17"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14"/>
      <c r="Q46" s="1462">
        <f t="shared" si="11"/>
        <v>111</v>
      </c>
      <c r="R46" s="1463" t="s">
        <v>10</v>
      </c>
      <c r="S46" s="1464">
        <f t="shared" si="12"/>
        <v>100</v>
      </c>
      <c r="T46" s="1463" t="s">
        <v>10</v>
      </c>
      <c r="U46" s="1464">
        <f t="shared" si="13"/>
        <v>100</v>
      </c>
      <c r="V46" s="1463" t="s">
        <v>10</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50" t="str">
        <f>A47</f>
        <v>成交单价（元/平方米）</v>
      </c>
      <c r="Q47" s="3650"/>
      <c r="R47" s="3813">
        <f>E47</f>
        <v>0</v>
      </c>
      <c r="S47" s="3813"/>
      <c r="T47" s="3813">
        <f>G47</f>
        <v>0</v>
      </c>
      <c r="U47" s="3813"/>
      <c r="V47" s="3813">
        <f>I47</f>
        <v>0</v>
      </c>
      <c r="W47" s="3813"/>
      <c r="X47" s="1452"/>
      <c r="Y47" s="1471"/>
      <c r="Z47" s="1452"/>
      <c r="AA47" s="1452"/>
      <c r="AB47" s="1452"/>
      <c r="AC47" s="1452"/>
    </row>
    <row r="48" spans="1:29" ht="1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50" t="str">
        <f>A48</f>
        <v>比较价格（元/平方米）</v>
      </c>
      <c r="Q48" s="3650"/>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 thickBot="1">
      <c r="A49" s="595" t="s">
        <v>2691</v>
      </c>
      <c r="B49" s="596"/>
      <c r="C49" s="2427" t="e">
        <f>R49</f>
        <v>#DIV/0!</v>
      </c>
      <c r="D49" s="2427"/>
      <c r="E49" s="2427"/>
      <c r="F49" s="2427"/>
      <c r="G49" s="2427"/>
      <c r="H49" s="2427"/>
      <c r="I49" s="2427"/>
      <c r="J49" s="2427"/>
      <c r="K49" s="1493"/>
      <c r="L49" s="1978"/>
      <c r="M49" s="1979"/>
      <c r="N49" s="1979"/>
      <c r="O49" s="1979"/>
      <c r="P49" s="3687" t="str">
        <f>A49</f>
        <v>估价对象XX用房的比较价格（楼面单价，元/平方米）</v>
      </c>
      <c r="Q49" s="3688"/>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ht="15">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31"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5">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6"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6"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6"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6"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6"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5">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6"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6"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6"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6"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6"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6"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6"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31"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6"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16"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6">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6">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6">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6">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6">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6">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7"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L20" sqref="L20"/>
    </sheetView>
  </sheetViews>
  <sheetFormatPr baseColWidth="10" defaultColWidth="9" defaultRowHeight="14"/>
  <cols>
    <col min="1" max="1" width="10.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56" t="s">
        <v>500</v>
      </c>
      <c r="D4" s="3657"/>
      <c r="E4" s="3691" t="s">
        <v>501</v>
      </c>
      <c r="F4" s="3692"/>
      <c r="G4" s="3656" t="s">
        <v>502</v>
      </c>
      <c r="H4" s="3657"/>
      <c r="I4" s="3656" t="s">
        <v>503</v>
      </c>
      <c r="J4" s="3657"/>
      <c r="K4" s="490"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1" t="s">
        <v>502</v>
      </c>
      <c r="AC4" s="3653" t="s">
        <v>503</v>
      </c>
    </row>
    <row r="5" spans="1:29">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1"/>
      <c r="AC5" s="3654"/>
    </row>
    <row r="6" spans="1:29" ht="16"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1"/>
      <c r="AC6" s="3655"/>
    </row>
    <row r="7" spans="1:29" s="1166" customFormat="1" ht="16" thickBot="1">
      <c r="A7" s="2578"/>
      <c r="B7" s="2585" t="s">
        <v>507</v>
      </c>
      <c r="C7" s="495">
        <f>'数据-取费表'!B2</f>
        <v>44826</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80"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6">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7"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7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83" t="s">
        <v>518</v>
      </c>
      <c r="Q15" s="1462" t="str">
        <f t="shared" si="6"/>
        <v>商业繁华度</v>
      </c>
      <c r="R15" s="1463" t="s">
        <v>8</v>
      </c>
      <c r="S15" s="1464">
        <f t="shared" si="0"/>
        <v>100</v>
      </c>
      <c r="T15" s="1463" t="s">
        <v>8</v>
      </c>
      <c r="U15" s="1464">
        <f t="shared" si="1"/>
        <v>100</v>
      </c>
      <c r="V15" s="1463" t="s">
        <v>8</v>
      </c>
      <c r="W15" s="1464">
        <f t="shared" si="2"/>
        <v>100</v>
      </c>
      <c r="X15" s="1457"/>
      <c r="Y15" s="3683" t="s">
        <v>518</v>
      </c>
      <c r="Z15" s="1465" t="str">
        <f t="shared" si="7"/>
        <v>商业繁华度</v>
      </c>
      <c r="AA15" s="1466">
        <f t="shared" si="3"/>
        <v>1</v>
      </c>
      <c r="AB15" s="1466">
        <f t="shared" si="4"/>
        <v>1</v>
      </c>
      <c r="AC15" s="1466">
        <f t="shared" si="5"/>
        <v>1</v>
      </c>
    </row>
    <row r="16" spans="1:29" ht="16">
      <c r="A16" s="508"/>
      <c r="B16" s="840"/>
      <c r="C16" s="552"/>
      <c r="D16" s="531"/>
      <c r="E16" s="552"/>
      <c r="F16" s="533"/>
      <c r="G16" s="552"/>
      <c r="H16" s="535"/>
      <c r="I16" s="552"/>
      <c r="J16" s="531"/>
      <c r="K16" s="870"/>
      <c r="L16" s="1976"/>
      <c r="M16" s="1968"/>
      <c r="N16" s="1968"/>
      <c r="O16" s="1975"/>
      <c r="P16" s="3684"/>
      <c r="Q16" s="1462"/>
      <c r="R16" s="1463"/>
      <c r="S16" s="1464"/>
      <c r="T16" s="1463"/>
      <c r="U16" s="1464"/>
      <c r="V16" s="1463"/>
      <c r="W16" s="1464"/>
      <c r="X16" s="1457"/>
      <c r="Y16" s="3684"/>
      <c r="Z16" s="1465"/>
      <c r="AA16" s="1466">
        <v>1</v>
      </c>
      <c r="AB16" s="1466">
        <v>1</v>
      </c>
      <c r="AC16" s="1466">
        <v>1</v>
      </c>
    </row>
    <row r="17" spans="1:29" ht="90">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70"/>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6">
      <c r="A20" s="508"/>
      <c r="B20" s="571"/>
      <c r="C20" s="552"/>
      <c r="D20" s="531"/>
      <c r="E20" s="532"/>
      <c r="F20" s="533"/>
      <c r="G20" s="534"/>
      <c r="H20" s="531"/>
      <c r="I20" s="532"/>
      <c r="J20" s="531"/>
      <c r="K20" s="870"/>
      <c r="L20" s="1976"/>
      <c r="M20" s="1968"/>
      <c r="N20" s="1968"/>
      <c r="O20" s="1975"/>
      <c r="P20" s="3684"/>
      <c r="Q20" s="1462"/>
      <c r="R20" s="1463"/>
      <c r="S20" s="1464"/>
      <c r="T20" s="1463"/>
      <c r="U20" s="1464"/>
      <c r="V20" s="1463"/>
      <c r="W20" s="1464"/>
      <c r="X20" s="1457"/>
      <c r="Y20" s="3684"/>
      <c r="Z20" s="1465"/>
      <c r="AA20" s="1466">
        <v>1</v>
      </c>
      <c r="AB20" s="1466">
        <v>1</v>
      </c>
      <c r="AC20" s="1466">
        <v>1</v>
      </c>
    </row>
    <row r="21" spans="1:29" ht="30">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6">
      <c r="A22" s="508"/>
      <c r="B22" s="893"/>
      <c r="C22" s="844"/>
      <c r="D22" s="531"/>
      <c r="E22" s="552"/>
      <c r="F22" s="533"/>
      <c r="G22" s="552"/>
      <c r="H22" s="531"/>
      <c r="I22" s="552"/>
      <c r="J22" s="531"/>
      <c r="K22" s="2395"/>
      <c r="L22" s="1976"/>
      <c r="M22" s="1968"/>
      <c r="N22" s="1968"/>
      <c r="O22" s="1975"/>
      <c r="P22" s="3684"/>
      <c r="Q22" s="2378"/>
      <c r="R22" s="1463"/>
      <c r="S22" s="1464"/>
      <c r="T22" s="1463"/>
      <c r="U22" s="1464"/>
      <c r="V22" s="1463"/>
      <c r="W22" s="1464"/>
      <c r="X22" s="2380"/>
      <c r="Y22" s="3684"/>
      <c r="Z22" s="2379"/>
      <c r="AA22" s="1466">
        <v>1</v>
      </c>
      <c r="AB22" s="1466">
        <v>1</v>
      </c>
      <c r="AC22" s="1466">
        <v>1</v>
      </c>
    </row>
    <row r="23" spans="1:29" ht="60">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84"/>
      <c r="Q23" s="1462" t="str">
        <f>B23</f>
        <v>自然及人文环境</v>
      </c>
      <c r="R23" s="1463" t="s">
        <v>8</v>
      </c>
      <c r="S23" s="1464">
        <f>F23</f>
        <v>100</v>
      </c>
      <c r="T23" s="1463" t="s">
        <v>8</v>
      </c>
      <c r="U23" s="1464">
        <f>H23</f>
        <v>100</v>
      </c>
      <c r="V23" s="1463" t="s">
        <v>8</v>
      </c>
      <c r="W23" s="1464">
        <f>J23</f>
        <v>100</v>
      </c>
      <c r="X23" s="1457"/>
      <c r="Y23" s="3684"/>
      <c r="Z23" s="1465" t="str">
        <f>Q23</f>
        <v>自然及人文环境</v>
      </c>
      <c r="AA23" s="1466">
        <f t="shared" si="3"/>
        <v>1</v>
      </c>
      <c r="AB23" s="1466">
        <f t="shared" si="4"/>
        <v>1</v>
      </c>
      <c r="AC23" s="1466">
        <f t="shared" si="5"/>
        <v>1</v>
      </c>
    </row>
    <row r="24" spans="1:29" ht="16">
      <c r="A24" s="508"/>
      <c r="B24" s="571"/>
      <c r="C24" s="552"/>
      <c r="D24" s="531"/>
      <c r="E24" s="532"/>
      <c r="F24" s="533"/>
      <c r="G24" s="534"/>
      <c r="H24" s="531"/>
      <c r="I24" s="532"/>
      <c r="J24" s="531"/>
      <c r="K24" s="870"/>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6">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84"/>
      <c r="Q25" s="1462" t="str">
        <f t="shared" ref="Q25:Q46" si="11">B25</f>
        <v>临街状况</v>
      </c>
      <c r="R25" s="1463" t="s">
        <v>8</v>
      </c>
      <c r="S25" s="1464">
        <f>F25</f>
        <v>100</v>
      </c>
      <c r="T25" s="1463" t="s">
        <v>8</v>
      </c>
      <c r="U25" s="1464">
        <f>H25</f>
        <v>100</v>
      </c>
      <c r="V25" s="1463" t="s">
        <v>8</v>
      </c>
      <c r="W25" s="1464">
        <f>J25</f>
        <v>100</v>
      </c>
      <c r="X25" s="1457"/>
      <c r="Y25" s="3684"/>
      <c r="Z25" s="1465" t="str">
        <f>Q25</f>
        <v>临街状况</v>
      </c>
      <c r="AA25" s="1466">
        <f t="shared" si="3"/>
        <v>1</v>
      </c>
      <c r="AB25" s="1466">
        <f t="shared" si="4"/>
        <v>1</v>
      </c>
      <c r="AC25" s="1466">
        <f t="shared" si="5"/>
        <v>1</v>
      </c>
    </row>
    <row r="26" spans="1:29" ht="16">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84"/>
      <c r="Q26" s="1462" t="str">
        <f t="shared" si="11"/>
        <v>平面位置/可视性</v>
      </c>
      <c r="R26" s="1463" t="s">
        <v>8</v>
      </c>
      <c r="S26" s="1464">
        <f>F26</f>
        <v>100</v>
      </c>
      <c r="T26" s="1463" t="s">
        <v>8</v>
      </c>
      <c r="U26" s="1464">
        <f>H26</f>
        <v>100</v>
      </c>
      <c r="V26" s="1463" t="s">
        <v>8</v>
      </c>
      <c r="W26" s="1464">
        <f>J26</f>
        <v>100</v>
      </c>
      <c r="X26" s="1457"/>
      <c r="Y26" s="3684"/>
      <c r="Z26" s="1465" t="str">
        <f>Q26</f>
        <v>平面位置/可视性</v>
      </c>
      <c r="AA26" s="1466">
        <f t="shared" si="3"/>
        <v>1</v>
      </c>
      <c r="AB26" s="1466">
        <f t="shared" si="4"/>
        <v>1</v>
      </c>
      <c r="AC26" s="1466">
        <f t="shared" si="5"/>
        <v>1</v>
      </c>
    </row>
    <row r="27" spans="1:29" s="1166" customFormat="1" ht="16">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84"/>
      <c r="Q27" s="1097" t="str">
        <f t="shared" si="11"/>
        <v>人流量</v>
      </c>
      <c r="R27" s="1458" t="s">
        <v>8</v>
      </c>
      <c r="S27" s="1459">
        <f>F27</f>
        <v>100</v>
      </c>
      <c r="T27" s="1458" t="s">
        <v>8</v>
      </c>
      <c r="U27" s="1459">
        <f>H27</f>
        <v>100</v>
      </c>
      <c r="V27" s="1458" t="s">
        <v>8</v>
      </c>
      <c r="W27" s="1459">
        <f>J27</f>
        <v>100</v>
      </c>
      <c r="X27" s="1460"/>
      <c r="Y27" s="3684"/>
      <c r="Z27" s="1096" t="str">
        <f>Q27</f>
        <v>人流量</v>
      </c>
      <c r="AA27" s="1466">
        <f>D27/F27</f>
        <v>1</v>
      </c>
      <c r="AB27" s="1466">
        <f>D27/H27</f>
        <v>1</v>
      </c>
      <c r="AC27" s="1466">
        <f>D27/J27</f>
        <v>1</v>
      </c>
    </row>
    <row r="28" spans="1:29" ht="16">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84"/>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84"/>
      <c r="Z28" s="1465" t="str">
        <f t="shared" ref="Z28:Z46" si="15">Q28</f>
        <v>楼层</v>
      </c>
      <c r="AA28" s="1466">
        <f t="shared" si="3"/>
        <v>1</v>
      </c>
      <c r="AB28" s="1466">
        <f t="shared" si="4"/>
        <v>1</v>
      </c>
      <c r="AC28" s="1466">
        <f t="shared" si="5"/>
        <v>1</v>
      </c>
    </row>
    <row r="29" spans="1:29" ht="16">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84"/>
      <c r="Q29" s="1462">
        <f t="shared" si="11"/>
        <v>111</v>
      </c>
      <c r="R29" s="1463" t="s">
        <v>8</v>
      </c>
      <c r="S29" s="1464">
        <f t="shared" si="12"/>
        <v>100</v>
      </c>
      <c r="T29" s="1463" t="s">
        <v>8</v>
      </c>
      <c r="U29" s="1464">
        <f t="shared" si="13"/>
        <v>100</v>
      </c>
      <c r="V29" s="1463" t="s">
        <v>8</v>
      </c>
      <c r="W29" s="1464">
        <f t="shared" si="14"/>
        <v>100</v>
      </c>
      <c r="X29" s="1457"/>
      <c r="Y29" s="3684"/>
      <c r="Z29" s="1465">
        <f t="shared" si="15"/>
        <v>111</v>
      </c>
      <c r="AA29" s="1466">
        <f t="shared" si="3"/>
        <v>1</v>
      </c>
      <c r="AB29" s="1466">
        <f t="shared" si="4"/>
        <v>1</v>
      </c>
      <c r="AC29" s="1466">
        <f t="shared" si="5"/>
        <v>1</v>
      </c>
    </row>
    <row r="30" spans="1:29" ht="16">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84"/>
      <c r="Q30" s="1462">
        <f t="shared" si="11"/>
        <v>111</v>
      </c>
      <c r="R30" s="1463" t="s">
        <v>8</v>
      </c>
      <c r="S30" s="1464">
        <f t="shared" si="12"/>
        <v>100</v>
      </c>
      <c r="T30" s="1463" t="s">
        <v>8</v>
      </c>
      <c r="U30" s="1464">
        <f t="shared" si="13"/>
        <v>100</v>
      </c>
      <c r="V30" s="1463" t="s">
        <v>8</v>
      </c>
      <c r="W30" s="1464">
        <f t="shared" si="14"/>
        <v>100</v>
      </c>
      <c r="X30" s="1457"/>
      <c r="Y30" s="3684"/>
      <c r="Z30" s="1465">
        <f t="shared" si="15"/>
        <v>111</v>
      </c>
      <c r="AA30" s="1466">
        <f t="shared" si="3"/>
        <v>1</v>
      </c>
      <c r="AB30" s="1466">
        <f t="shared" si="4"/>
        <v>1</v>
      </c>
      <c r="AC30" s="1466">
        <f t="shared" si="5"/>
        <v>1</v>
      </c>
    </row>
    <row r="31" spans="1:29" ht="17"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84"/>
      <c r="Q31" s="1462">
        <f t="shared" si="11"/>
        <v>111</v>
      </c>
      <c r="R31" s="1463" t="s">
        <v>8</v>
      </c>
      <c r="S31" s="1464">
        <f t="shared" si="12"/>
        <v>100</v>
      </c>
      <c r="T31" s="1463" t="s">
        <v>8</v>
      </c>
      <c r="U31" s="1464">
        <f t="shared" si="13"/>
        <v>100</v>
      </c>
      <c r="V31" s="1463" t="s">
        <v>8</v>
      </c>
      <c r="W31" s="1464">
        <f t="shared" si="14"/>
        <v>100</v>
      </c>
      <c r="X31" s="1457"/>
      <c r="Y31" s="3684"/>
      <c r="Z31" s="1465">
        <f t="shared" si="15"/>
        <v>111</v>
      </c>
      <c r="AA31" s="1466">
        <f t="shared" si="3"/>
        <v>1</v>
      </c>
      <c r="AB31" s="1466">
        <f t="shared" si="4"/>
        <v>1</v>
      </c>
      <c r="AC31" s="1466">
        <f t="shared" si="5"/>
        <v>1</v>
      </c>
    </row>
    <row r="32" spans="1:29" ht="16">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85" t="s">
        <v>528</v>
      </c>
      <c r="Q32" s="1462" t="str">
        <f t="shared" si="11"/>
        <v>商业类型</v>
      </c>
      <c r="R32" s="1463" t="s">
        <v>8</v>
      </c>
      <c r="S32" s="1464">
        <f t="shared" si="12"/>
        <v>100</v>
      </c>
      <c r="T32" s="1463" t="s">
        <v>8</v>
      </c>
      <c r="U32" s="1464">
        <f t="shared" si="13"/>
        <v>100</v>
      </c>
      <c r="V32" s="1463" t="s">
        <v>8</v>
      </c>
      <c r="W32" s="1464">
        <f t="shared" si="14"/>
        <v>100</v>
      </c>
      <c r="X32" s="1457"/>
      <c r="Y32" s="3686" t="s">
        <v>528</v>
      </c>
      <c r="Z32" s="1465" t="str">
        <f t="shared" si="15"/>
        <v>商业类型</v>
      </c>
      <c r="AA32" s="1466">
        <f t="shared" si="3"/>
        <v>1</v>
      </c>
      <c r="AB32" s="1466">
        <f t="shared" si="4"/>
        <v>1</v>
      </c>
      <c r="AC32" s="1466">
        <f t="shared" si="5"/>
        <v>1</v>
      </c>
    </row>
    <row r="33" spans="1:29" s="1248" customFormat="1" ht="16">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86"/>
      <c r="Q33" s="1491" t="str">
        <f t="shared" si="11"/>
        <v>项目建筑规模</v>
      </c>
      <c r="R33" s="1467" t="s">
        <v>8</v>
      </c>
      <c r="S33" s="1468" t="e">
        <f t="shared" si="12"/>
        <v>#N/A</v>
      </c>
      <c r="T33" s="1467" t="s">
        <v>8</v>
      </c>
      <c r="U33" s="1468" t="e">
        <f t="shared" si="13"/>
        <v>#N/A</v>
      </c>
      <c r="V33" s="1467" t="s">
        <v>8</v>
      </c>
      <c r="W33" s="1468" t="e">
        <f t="shared" si="14"/>
        <v>#N/A</v>
      </c>
      <c r="X33" s="1469"/>
      <c r="Y33" s="3686"/>
      <c r="Z33" s="1470" t="str">
        <f t="shared" si="15"/>
        <v>项目建筑规模</v>
      </c>
      <c r="AA33" s="1466" t="e">
        <f t="shared" si="3"/>
        <v>#N/A</v>
      </c>
      <c r="AB33" s="1466" t="e">
        <f t="shared" si="4"/>
        <v>#N/A</v>
      </c>
      <c r="AC33" s="1466" t="e">
        <f t="shared" si="5"/>
        <v>#N/A</v>
      </c>
    </row>
    <row r="34" spans="1:29" ht="16">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86"/>
      <c r="Q34" s="1462" t="str">
        <f t="shared" si="11"/>
        <v>建筑结构</v>
      </c>
      <c r="R34" s="1463" t="s">
        <v>8</v>
      </c>
      <c r="S34" s="1464">
        <f t="shared" si="12"/>
        <v>100</v>
      </c>
      <c r="T34" s="1463" t="s">
        <v>8</v>
      </c>
      <c r="U34" s="1464">
        <f t="shared" si="13"/>
        <v>100</v>
      </c>
      <c r="V34" s="1463" t="s">
        <v>8</v>
      </c>
      <c r="W34" s="1464">
        <f t="shared" si="14"/>
        <v>100</v>
      </c>
      <c r="X34" s="1457"/>
      <c r="Y34" s="3686"/>
      <c r="Z34" s="1465" t="str">
        <f t="shared" si="15"/>
        <v>建筑结构</v>
      </c>
      <c r="AA34" s="1466">
        <f t="shared" si="3"/>
        <v>1</v>
      </c>
      <c r="AB34" s="1466">
        <f t="shared" si="4"/>
        <v>1</v>
      </c>
      <c r="AC34" s="1466">
        <f t="shared" si="5"/>
        <v>1</v>
      </c>
    </row>
    <row r="35" spans="1:29" ht="16">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86"/>
      <c r="Q35" s="1462" t="str">
        <f t="shared" si="11"/>
        <v>公共部分装修</v>
      </c>
      <c r="R35" s="1463" t="s">
        <v>8</v>
      </c>
      <c r="S35" s="1464">
        <f t="shared" si="12"/>
        <v>100</v>
      </c>
      <c r="T35" s="1463" t="s">
        <v>8</v>
      </c>
      <c r="U35" s="1464">
        <f t="shared" si="13"/>
        <v>100</v>
      </c>
      <c r="V35" s="1463" t="s">
        <v>8</v>
      </c>
      <c r="W35" s="1464">
        <f t="shared" si="14"/>
        <v>100</v>
      </c>
      <c r="X35" s="1457"/>
      <c r="Y35" s="3686"/>
      <c r="Z35" s="1465" t="str">
        <f t="shared" si="15"/>
        <v>公共部分装修</v>
      </c>
      <c r="AA35" s="1466">
        <f t="shared" si="3"/>
        <v>1</v>
      </c>
      <c r="AB35" s="1466">
        <f t="shared" si="4"/>
        <v>1</v>
      </c>
      <c r="AC35" s="1466">
        <f t="shared" si="5"/>
        <v>1</v>
      </c>
    </row>
    <row r="36" spans="1:29" ht="16">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86"/>
      <c r="Q36" s="1462" t="str">
        <f t="shared" si="11"/>
        <v>成新度</v>
      </c>
      <c r="R36" s="1463" t="s">
        <v>8</v>
      </c>
      <c r="S36" s="1464" t="e">
        <f t="shared" si="12"/>
        <v>#N/A</v>
      </c>
      <c r="T36" s="1463" t="s">
        <v>8</v>
      </c>
      <c r="U36" s="1464" t="e">
        <f t="shared" si="13"/>
        <v>#N/A</v>
      </c>
      <c r="V36" s="1463" t="s">
        <v>8</v>
      </c>
      <c r="W36" s="1464" t="e">
        <f t="shared" si="14"/>
        <v>#N/A</v>
      </c>
      <c r="X36" s="1457"/>
      <c r="Y36" s="3686"/>
      <c r="Z36" s="1465" t="str">
        <f t="shared" si="15"/>
        <v>成新度</v>
      </c>
      <c r="AA36" s="1466" t="e">
        <f t="shared" si="3"/>
        <v>#N/A</v>
      </c>
      <c r="AB36" s="1466" t="e">
        <f t="shared" si="4"/>
        <v>#N/A</v>
      </c>
      <c r="AC36" s="1466" t="e">
        <f t="shared" si="5"/>
        <v>#N/A</v>
      </c>
    </row>
    <row r="37" spans="1:29" s="1166" customFormat="1" ht="16">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86"/>
      <c r="Q37" s="1097" t="str">
        <f t="shared" si="11"/>
        <v>市政基础设施</v>
      </c>
      <c r="R37" s="1458" t="s">
        <v>8</v>
      </c>
      <c r="S37" s="1459">
        <f t="shared" si="12"/>
        <v>100</v>
      </c>
      <c r="T37" s="1458" t="s">
        <v>8</v>
      </c>
      <c r="U37" s="1459">
        <f t="shared" si="13"/>
        <v>100</v>
      </c>
      <c r="V37" s="1458" t="s">
        <v>8</v>
      </c>
      <c r="W37" s="1459">
        <f t="shared" si="14"/>
        <v>100</v>
      </c>
      <c r="X37" s="1460"/>
      <c r="Y37" s="3686"/>
      <c r="Z37" s="1096" t="str">
        <f t="shared" si="15"/>
        <v>市政基础设施</v>
      </c>
      <c r="AA37" s="1461">
        <f t="shared" si="3"/>
        <v>1</v>
      </c>
      <c r="AB37" s="1461">
        <f t="shared" si="4"/>
        <v>1</v>
      </c>
      <c r="AC37" s="1461">
        <f t="shared" si="5"/>
        <v>1</v>
      </c>
    </row>
    <row r="38" spans="1:29" ht="16">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86" t="s">
        <v>743</v>
      </c>
      <c r="Q38" s="1462" t="str">
        <f t="shared" si="11"/>
        <v>业态</v>
      </c>
      <c r="R38" s="1463" t="s">
        <v>8</v>
      </c>
      <c r="S38" s="1464">
        <f t="shared" si="12"/>
        <v>100</v>
      </c>
      <c r="T38" s="1463" t="s">
        <v>8</v>
      </c>
      <c r="U38" s="1464">
        <f t="shared" si="13"/>
        <v>100</v>
      </c>
      <c r="V38" s="1463" t="s">
        <v>8</v>
      </c>
      <c r="W38" s="1464">
        <f t="shared" si="14"/>
        <v>100</v>
      </c>
      <c r="X38" s="1457"/>
      <c r="Y38" s="3686" t="s">
        <v>743</v>
      </c>
      <c r="Z38" s="1465" t="str">
        <f t="shared" si="15"/>
        <v>业态</v>
      </c>
      <c r="AA38" s="1466">
        <f t="shared" si="3"/>
        <v>1</v>
      </c>
      <c r="AB38" s="1466">
        <f t="shared" si="4"/>
        <v>1</v>
      </c>
      <c r="AC38" s="1466">
        <f t="shared" si="5"/>
        <v>1</v>
      </c>
    </row>
    <row r="39" spans="1:29" ht="16">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86"/>
      <c r="Q39" s="1462" t="str">
        <f t="shared" si="11"/>
        <v>层高</v>
      </c>
      <c r="R39" s="1463" t="s">
        <v>8</v>
      </c>
      <c r="S39" s="1464">
        <f t="shared" si="12"/>
        <v>100</v>
      </c>
      <c r="T39" s="1463" t="s">
        <v>8</v>
      </c>
      <c r="U39" s="1464">
        <f t="shared" si="13"/>
        <v>100</v>
      </c>
      <c r="V39" s="1463" t="s">
        <v>8</v>
      </c>
      <c r="W39" s="1464">
        <f t="shared" si="14"/>
        <v>100</v>
      </c>
      <c r="X39" s="1457"/>
      <c r="Y39" s="3686"/>
      <c r="Z39" s="1465" t="str">
        <f t="shared" si="15"/>
        <v>层高</v>
      </c>
      <c r="AA39" s="1466">
        <f t="shared" si="3"/>
        <v>1</v>
      </c>
      <c r="AB39" s="1466">
        <f t="shared" si="4"/>
        <v>1</v>
      </c>
      <c r="AC39" s="1466">
        <f t="shared" si="5"/>
        <v>1</v>
      </c>
    </row>
    <row r="40" spans="1:29" ht="16">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86"/>
      <c r="Q40" s="1462" t="str">
        <f t="shared" si="11"/>
        <v>单套建筑面积</v>
      </c>
      <c r="R40" s="1463" t="s">
        <v>8</v>
      </c>
      <c r="S40" s="1464">
        <f t="shared" si="12"/>
        <v>100</v>
      </c>
      <c r="T40" s="1463" t="s">
        <v>8</v>
      </c>
      <c r="U40" s="1464">
        <f t="shared" si="13"/>
        <v>100</v>
      </c>
      <c r="V40" s="1463" t="s">
        <v>8</v>
      </c>
      <c r="W40" s="1464">
        <f t="shared" si="14"/>
        <v>100</v>
      </c>
      <c r="X40" s="1457"/>
      <c r="Y40" s="3686"/>
      <c r="Z40" s="1465" t="str">
        <f t="shared" si="15"/>
        <v>单套建筑面积</v>
      </c>
      <c r="AA40" s="1466">
        <f t="shared" si="3"/>
        <v>1</v>
      </c>
      <c r="AB40" s="1466">
        <f t="shared" si="4"/>
        <v>1</v>
      </c>
      <c r="AC40" s="1466">
        <f t="shared" si="5"/>
        <v>1</v>
      </c>
    </row>
    <row r="41" spans="1:29" s="1248" customFormat="1" ht="16">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86"/>
      <c r="Q41" s="1491" t="str">
        <f t="shared" si="11"/>
        <v>进深比</v>
      </c>
      <c r="R41" s="1467" t="s">
        <v>8</v>
      </c>
      <c r="S41" s="1468">
        <f t="shared" si="12"/>
        <v>100</v>
      </c>
      <c r="T41" s="1467" t="s">
        <v>8</v>
      </c>
      <c r="U41" s="1468">
        <f t="shared" si="13"/>
        <v>100</v>
      </c>
      <c r="V41" s="1467" t="s">
        <v>8</v>
      </c>
      <c r="W41" s="1468">
        <f t="shared" si="14"/>
        <v>100</v>
      </c>
      <c r="X41" s="1469"/>
      <c r="Y41" s="3686"/>
      <c r="Z41" s="1470" t="str">
        <f t="shared" si="15"/>
        <v>进深比</v>
      </c>
      <c r="AA41" s="1466">
        <f t="shared" si="3"/>
        <v>1</v>
      </c>
      <c r="AB41" s="1466">
        <f t="shared" si="4"/>
        <v>1</v>
      </c>
      <c r="AC41" s="1466">
        <f t="shared" si="5"/>
        <v>1</v>
      </c>
    </row>
    <row r="42" spans="1:29" ht="16">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86"/>
      <c r="Q42" s="1462" t="str">
        <f t="shared" si="11"/>
        <v>内部装修</v>
      </c>
      <c r="R42" s="1463" t="s">
        <v>8</v>
      </c>
      <c r="S42" s="1464">
        <f t="shared" si="12"/>
        <v>100</v>
      </c>
      <c r="T42" s="1463" t="s">
        <v>8</v>
      </c>
      <c r="U42" s="1464">
        <f t="shared" si="13"/>
        <v>100</v>
      </c>
      <c r="V42" s="1463" t="s">
        <v>8</v>
      </c>
      <c r="W42" s="1464">
        <f t="shared" si="14"/>
        <v>100</v>
      </c>
      <c r="X42" s="1457"/>
      <c r="Y42" s="3686"/>
      <c r="Z42" s="1465" t="str">
        <f t="shared" si="15"/>
        <v>内部装修</v>
      </c>
      <c r="AA42" s="1466">
        <f t="shared" si="3"/>
        <v>1</v>
      </c>
      <c r="AB42" s="1466">
        <f t="shared" si="4"/>
        <v>1</v>
      </c>
      <c r="AC42" s="1466">
        <f t="shared" si="5"/>
        <v>1</v>
      </c>
    </row>
    <row r="43" spans="1:29" ht="16">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86"/>
      <c r="Q43" s="1462" t="str">
        <f t="shared" si="11"/>
        <v>内部装修维护情况</v>
      </c>
      <c r="R43" s="1463" t="s">
        <v>8</v>
      </c>
      <c r="S43" s="1464">
        <f t="shared" si="12"/>
        <v>100</v>
      </c>
      <c r="T43" s="1463" t="s">
        <v>8</v>
      </c>
      <c r="U43" s="1464">
        <f t="shared" si="13"/>
        <v>100</v>
      </c>
      <c r="V43" s="1463" t="s">
        <v>8</v>
      </c>
      <c r="W43" s="1464">
        <f t="shared" si="14"/>
        <v>100</v>
      </c>
      <c r="X43" s="1457"/>
      <c r="Y43" s="3686"/>
      <c r="Z43" s="1465" t="str">
        <f t="shared" si="15"/>
        <v>内部装修维护情况</v>
      </c>
      <c r="AA43" s="1466">
        <f t="shared" si="3"/>
        <v>1</v>
      </c>
      <c r="AB43" s="1466">
        <f t="shared" si="4"/>
        <v>1</v>
      </c>
      <c r="AC43" s="1466">
        <f t="shared" si="5"/>
        <v>1</v>
      </c>
    </row>
    <row r="44" spans="1:29" s="1166" customFormat="1" ht="16">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86"/>
      <c r="Q44" s="1097">
        <f t="shared" si="11"/>
        <v>111</v>
      </c>
      <c r="R44" s="1458" t="s">
        <v>8</v>
      </c>
      <c r="S44" s="1459">
        <f t="shared" si="12"/>
        <v>100</v>
      </c>
      <c r="T44" s="1458" t="s">
        <v>8</v>
      </c>
      <c r="U44" s="1459">
        <f t="shared" si="13"/>
        <v>100</v>
      </c>
      <c r="V44" s="1458" t="s">
        <v>8</v>
      </c>
      <c r="W44" s="1459">
        <f t="shared" si="14"/>
        <v>100</v>
      </c>
      <c r="X44" s="1460"/>
      <c r="Y44" s="3686"/>
      <c r="Z44" s="1096">
        <f t="shared" si="15"/>
        <v>111</v>
      </c>
      <c r="AA44" s="1461">
        <f t="shared" si="3"/>
        <v>1</v>
      </c>
      <c r="AB44" s="1461">
        <f t="shared" si="4"/>
        <v>1</v>
      </c>
      <c r="AC44" s="1461">
        <f t="shared" si="5"/>
        <v>1</v>
      </c>
    </row>
    <row r="45" spans="1:29" ht="16">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86"/>
      <c r="Q45" s="1462">
        <f t="shared" si="11"/>
        <v>111</v>
      </c>
      <c r="R45" s="1463" t="s">
        <v>8</v>
      </c>
      <c r="S45" s="1464">
        <f t="shared" si="12"/>
        <v>100</v>
      </c>
      <c r="T45" s="1463" t="s">
        <v>8</v>
      </c>
      <c r="U45" s="1464">
        <f t="shared" si="13"/>
        <v>100</v>
      </c>
      <c r="V45" s="1463" t="s">
        <v>8</v>
      </c>
      <c r="W45" s="1464">
        <f t="shared" si="14"/>
        <v>100</v>
      </c>
      <c r="X45" s="1457"/>
      <c r="Y45" s="3686"/>
      <c r="Z45" s="1465">
        <f t="shared" si="15"/>
        <v>111</v>
      </c>
      <c r="AA45" s="1466">
        <f t="shared" si="3"/>
        <v>1</v>
      </c>
      <c r="AB45" s="1466">
        <f t="shared" si="4"/>
        <v>1</v>
      </c>
      <c r="AC45" s="1466">
        <f t="shared" si="5"/>
        <v>1</v>
      </c>
    </row>
    <row r="46" spans="1:29" ht="17"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14"/>
      <c r="Q46" s="1462">
        <f t="shared" si="11"/>
        <v>111</v>
      </c>
      <c r="R46" s="1463" t="s">
        <v>8</v>
      </c>
      <c r="S46" s="1464">
        <f t="shared" si="12"/>
        <v>100</v>
      </c>
      <c r="T46" s="1463" t="s">
        <v>8</v>
      </c>
      <c r="U46" s="1464">
        <f t="shared" si="13"/>
        <v>100</v>
      </c>
      <c r="V46" s="1463" t="s">
        <v>8</v>
      </c>
      <c r="W46" s="1464">
        <f t="shared" si="14"/>
        <v>100</v>
      </c>
      <c r="X46" s="1457"/>
      <c r="Y46" s="3814"/>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50" t="str">
        <f>A47</f>
        <v>成交单价（元/平方米）</v>
      </c>
      <c r="Q47" s="3650"/>
      <c r="R47" s="3813">
        <f>E47</f>
        <v>0</v>
      </c>
      <c r="S47" s="3813"/>
      <c r="T47" s="3813">
        <f>G47</f>
        <v>0</v>
      </c>
      <c r="U47" s="3813"/>
      <c r="V47" s="3813">
        <f>I47</f>
        <v>0</v>
      </c>
      <c r="W47" s="3813"/>
      <c r="X47" s="1452"/>
      <c r="Y47" s="1471"/>
      <c r="Z47" s="1452"/>
      <c r="AA47" s="1452"/>
      <c r="AB47" s="1452"/>
      <c r="AC47" s="1452"/>
    </row>
    <row r="48" spans="1:29" ht="1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50" t="str">
        <f>A48</f>
        <v>比较价格（元/平方米）</v>
      </c>
      <c r="Q48" s="3650"/>
      <c r="R48" s="3813" t="e">
        <f>IF(F1="售价",ROUND(PRODUCT(R47,AA7:AA46),0),ROUND(PRODUCT(R47,AA7:AA46),1))</f>
        <v>#DIV/0!</v>
      </c>
      <c r="S48" s="3813"/>
      <c r="T48" s="3813" t="e">
        <f>IF(F1="售价",ROUND(PRODUCT(T47,AB7:AB46),0),ROUND(PRODUCT(T47,AB7:AB46),1))</f>
        <v>#DIV/0!</v>
      </c>
      <c r="U48" s="3813"/>
      <c r="V48" s="3813" t="e">
        <f>IF(F1="售价",ROUND(PRODUCT(V47,AC7:AC46),0),ROUND(PRODUCT(V47,AC7:AC46),1))</f>
        <v>#DIV/0!</v>
      </c>
      <c r="W48" s="3813"/>
      <c r="X48" s="1452"/>
      <c r="Y48" s="1452"/>
      <c r="Z48" s="1452"/>
      <c r="AA48" s="1452"/>
      <c r="AB48" s="1452"/>
      <c r="AC48" s="1452"/>
    </row>
    <row r="49" spans="1:29" ht="15" thickBot="1">
      <c r="A49" s="595" t="s">
        <v>2691</v>
      </c>
      <c r="B49" s="596"/>
      <c r="C49" s="2427" t="e">
        <f>R49</f>
        <v>#DIV/0!</v>
      </c>
      <c r="D49" s="2427"/>
      <c r="E49" s="2427"/>
      <c r="F49" s="2427"/>
      <c r="G49" s="2427"/>
      <c r="H49" s="2427"/>
      <c r="I49" s="2427"/>
      <c r="J49" s="2427"/>
      <c r="K49" s="1497"/>
      <c r="L49" s="1978"/>
      <c r="M49" s="1979"/>
      <c r="N49" s="1968"/>
      <c r="O49" s="1979"/>
      <c r="P49" s="3687" t="str">
        <f>A49</f>
        <v>估价对象XX用房的比较价格（楼面单价，元/平方米）</v>
      </c>
      <c r="Q49" s="3688"/>
      <c r="R49" s="3812" t="e">
        <f>IF(F1="售价",ROUND(IF(D48="简单平均",AVERAGE(R48:V48),R48*F48+T48*H48+V48*J48),0),ROUND(IF(D48="简单平均",AVERAGE(R48:V48),R48*F48+T48*H48+V48*J48),1))</f>
        <v>#DIV/0!</v>
      </c>
      <c r="S49" s="3812"/>
      <c r="T49" s="3812"/>
      <c r="U49" s="3812"/>
      <c r="V49" s="3812"/>
      <c r="W49" s="3812"/>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2022-9</v>
      </c>
      <c r="D58" s="2470">
        <f>EDATE(C58,-1)</f>
        <v>44774</v>
      </c>
      <c r="E58" s="2470">
        <f t="shared" ref="E58:O58" si="16">EDATE(D58,-1)</f>
        <v>44743</v>
      </c>
      <c r="F58" s="2470">
        <f t="shared" si="16"/>
        <v>44713</v>
      </c>
      <c r="G58" s="2470">
        <f t="shared" si="16"/>
        <v>44682</v>
      </c>
      <c r="H58" s="2470">
        <f t="shared" si="16"/>
        <v>44652</v>
      </c>
      <c r="I58" s="2470">
        <f t="shared" si="16"/>
        <v>44621</v>
      </c>
      <c r="J58" s="2470">
        <f t="shared" si="16"/>
        <v>44593</v>
      </c>
      <c r="K58" s="2470">
        <f t="shared" si="16"/>
        <v>44562</v>
      </c>
      <c r="L58" s="2470">
        <f t="shared" si="16"/>
        <v>44531</v>
      </c>
      <c r="M58" s="2470">
        <f t="shared" si="16"/>
        <v>44501</v>
      </c>
      <c r="N58" s="2470">
        <f t="shared" si="16"/>
        <v>44470</v>
      </c>
      <c r="O58" s="2470">
        <f t="shared" si="16"/>
        <v>44440</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ht="15">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31"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6"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ht="15">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6"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6"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6"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6"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6"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6"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6"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ht="15">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6"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6"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6"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6"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6"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6"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6"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6"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6"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6"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16"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7"/>
    </sheetView>
  </sheetViews>
  <sheetFormatPr baseColWidth="10" defaultColWidth="9" defaultRowHeight="14"/>
  <cols>
    <col min="1" max="1" width="10.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2053"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56" t="s">
        <v>500</v>
      </c>
      <c r="D4" s="3657"/>
      <c r="E4" s="3691" t="s">
        <v>501</v>
      </c>
      <c r="F4" s="3692"/>
      <c r="G4" s="3656" t="s">
        <v>502</v>
      </c>
      <c r="H4" s="3657"/>
      <c r="I4" s="3656" t="s">
        <v>503</v>
      </c>
      <c r="J4" s="3657"/>
      <c r="K4" s="490" t="s">
        <v>504</v>
      </c>
      <c r="L4" s="1967"/>
      <c r="M4" s="1968"/>
      <c r="N4" s="1968"/>
      <c r="O4" s="1968"/>
      <c r="P4" s="3816" t="s">
        <v>505</v>
      </c>
      <c r="Q4" s="3659"/>
      <c r="R4" s="3664" t="s">
        <v>501</v>
      </c>
      <c r="S4" s="3665"/>
      <c r="T4" s="3664" t="s">
        <v>502</v>
      </c>
      <c r="U4" s="3665"/>
      <c r="V4" s="3651" t="s">
        <v>503</v>
      </c>
      <c r="W4" s="3651"/>
      <c r="X4" s="1457"/>
      <c r="Y4" s="3664" t="s">
        <v>505</v>
      </c>
      <c r="Z4" s="3665"/>
      <c r="AA4" s="3653" t="s">
        <v>501</v>
      </c>
      <c r="AB4" s="3653" t="s">
        <v>502</v>
      </c>
      <c r="AC4" s="3653" t="s">
        <v>503</v>
      </c>
    </row>
    <row r="5" spans="1:29">
      <c r="A5" s="491"/>
      <c r="B5" s="492"/>
      <c r="C5" s="3672" t="s">
        <v>2685</v>
      </c>
      <c r="D5" s="3673"/>
      <c r="E5" s="3693" t="s">
        <v>2686</v>
      </c>
      <c r="F5" s="3694"/>
      <c r="G5" s="3672" t="s">
        <v>2687</v>
      </c>
      <c r="H5" s="3673"/>
      <c r="I5" s="3672" t="s">
        <v>2688</v>
      </c>
      <c r="J5" s="3673"/>
      <c r="K5" s="490"/>
      <c r="L5" s="1967"/>
      <c r="M5" s="1968"/>
      <c r="N5" s="1968"/>
      <c r="O5" s="1968"/>
      <c r="P5" s="3817"/>
      <c r="Q5" s="3661"/>
      <c r="R5" s="3666"/>
      <c r="S5" s="3667"/>
      <c r="T5" s="3666"/>
      <c r="U5" s="3667"/>
      <c r="V5" s="3651"/>
      <c r="W5" s="3651"/>
      <c r="X5" s="1457"/>
      <c r="Y5" s="3666"/>
      <c r="Z5" s="3667"/>
      <c r="AA5" s="3654"/>
      <c r="AB5" s="3654"/>
      <c r="AC5" s="3654"/>
    </row>
    <row r="6" spans="1:29" ht="16" thickBot="1">
      <c r="A6" s="493"/>
      <c r="B6" s="494"/>
      <c r="C6" s="3670" t="s">
        <v>2689</v>
      </c>
      <c r="D6" s="3671"/>
      <c r="E6" s="3689" t="s">
        <v>2689</v>
      </c>
      <c r="F6" s="3690"/>
      <c r="G6" s="3670" t="s">
        <v>2689</v>
      </c>
      <c r="H6" s="3671"/>
      <c r="I6" s="3670" t="s">
        <v>2689</v>
      </c>
      <c r="J6" s="3671"/>
      <c r="K6" s="490" t="s">
        <v>506</v>
      </c>
      <c r="L6" s="1967"/>
      <c r="M6" s="1968"/>
      <c r="N6" s="1968"/>
      <c r="O6" s="1968"/>
      <c r="P6" s="3818"/>
      <c r="Q6" s="3663"/>
      <c r="R6" s="3666"/>
      <c r="S6" s="3667"/>
      <c r="T6" s="3668"/>
      <c r="U6" s="3669"/>
      <c r="V6" s="3651"/>
      <c r="W6" s="3651"/>
      <c r="X6" s="1457"/>
      <c r="Y6" s="3668"/>
      <c r="Z6" s="3669"/>
      <c r="AA6" s="3655"/>
      <c r="AB6" s="3655"/>
      <c r="AC6" s="3655"/>
    </row>
    <row r="7" spans="1:29" s="1166" customFormat="1" ht="16" thickBot="1">
      <c r="A7" s="2578"/>
      <c r="B7" s="2585" t="s">
        <v>507</v>
      </c>
      <c r="C7" s="495">
        <f>'数据-取费表'!B2</f>
        <v>44826</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82"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82" t="s">
        <v>511</v>
      </c>
      <c r="Q8" s="3681"/>
      <c r="R8" s="1458" t="s">
        <v>8</v>
      </c>
      <c r="S8" s="1459">
        <f t="shared" si="0"/>
        <v>0</v>
      </c>
      <c r="T8" s="1458" t="s">
        <v>8</v>
      </c>
      <c r="U8" s="1459">
        <f t="shared" si="1"/>
        <v>0</v>
      </c>
      <c r="V8" s="1458" t="s">
        <v>8</v>
      </c>
      <c r="W8" s="1459">
        <f t="shared" si="2"/>
        <v>0</v>
      </c>
      <c r="X8" s="1460"/>
      <c r="Y8" s="3680" t="s">
        <v>511</v>
      </c>
      <c r="Z8" s="3681"/>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6">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7"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7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83" t="s">
        <v>518</v>
      </c>
      <c r="Q15" s="1462" t="str">
        <f t="shared" si="6"/>
        <v>办公集聚程度</v>
      </c>
      <c r="R15" s="1463" t="s">
        <v>8</v>
      </c>
      <c r="S15" s="1464">
        <f t="shared" si="0"/>
        <v>100</v>
      </c>
      <c r="T15" s="1463" t="s">
        <v>8</v>
      </c>
      <c r="U15" s="1464">
        <f t="shared" si="1"/>
        <v>100</v>
      </c>
      <c r="V15" s="1463" t="s">
        <v>8</v>
      </c>
      <c r="W15" s="1464">
        <f t="shared" si="2"/>
        <v>100</v>
      </c>
      <c r="X15" s="1457"/>
      <c r="Y15" s="3683" t="s">
        <v>518</v>
      </c>
      <c r="Z15" s="1465" t="str">
        <f t="shared" si="7"/>
        <v>办公集聚程度</v>
      </c>
      <c r="AA15" s="1466">
        <f t="shared" si="3"/>
        <v>1</v>
      </c>
      <c r="AB15" s="1466">
        <f t="shared" si="4"/>
        <v>1</v>
      </c>
      <c r="AC15" s="1466">
        <f t="shared" si="5"/>
        <v>1</v>
      </c>
    </row>
    <row r="16" spans="1:29" ht="16">
      <c r="A16" s="508"/>
      <c r="B16" s="529"/>
      <c r="C16" s="530"/>
      <c r="D16" s="531"/>
      <c r="E16" s="552"/>
      <c r="F16" s="531"/>
      <c r="G16" s="530"/>
      <c r="H16" s="535"/>
      <c r="I16" s="552"/>
      <c r="J16" s="531"/>
      <c r="K16" s="870"/>
      <c r="L16" s="1976"/>
      <c r="M16" s="1968"/>
      <c r="N16" s="1968"/>
      <c r="O16" s="1968"/>
      <c r="P16" s="3684"/>
      <c r="Q16" s="1462"/>
      <c r="R16" s="1463"/>
      <c r="S16" s="1464"/>
      <c r="T16" s="1463"/>
      <c r="U16" s="1464"/>
      <c r="V16" s="1463"/>
      <c r="W16" s="1464"/>
      <c r="X16" s="1457"/>
      <c r="Y16" s="3684"/>
      <c r="Z16" s="1465"/>
      <c r="AA16" s="1466">
        <v>1</v>
      </c>
      <c r="AB16" s="1466">
        <v>1</v>
      </c>
      <c r="AC16" s="1466">
        <v>1</v>
      </c>
    </row>
    <row r="17" spans="1:29" ht="90">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6">
      <c r="A18" s="508"/>
      <c r="B18" s="542"/>
      <c r="C18" s="543"/>
      <c r="D18" s="535"/>
      <c r="E18" s="545"/>
      <c r="F18" s="535"/>
      <c r="G18" s="544"/>
      <c r="H18" s="531"/>
      <c r="I18" s="544"/>
      <c r="J18" s="531"/>
      <c r="K18" s="870"/>
      <c r="L18" s="1976"/>
      <c r="M18" s="1968"/>
      <c r="N18" s="1968"/>
      <c r="O18" s="1968"/>
      <c r="P18" s="3684"/>
      <c r="Q18" s="1462"/>
      <c r="R18" s="1463"/>
      <c r="S18" s="1464"/>
      <c r="T18" s="1463"/>
      <c r="U18" s="1464"/>
      <c r="V18" s="1463"/>
      <c r="W18" s="1464"/>
      <c r="X18" s="1457"/>
      <c r="Y18" s="3684"/>
      <c r="Z18" s="1465"/>
      <c r="AA18" s="1466">
        <v>1</v>
      </c>
      <c r="AB18" s="1466">
        <v>1</v>
      </c>
      <c r="AC18" s="1466">
        <v>1</v>
      </c>
    </row>
    <row r="19" spans="1:29" ht="4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6">
      <c r="A20" s="508"/>
      <c r="B20" s="542"/>
      <c r="C20" s="530"/>
      <c r="D20" s="531"/>
      <c r="E20" s="534"/>
      <c r="F20" s="531"/>
      <c r="G20" s="532"/>
      <c r="H20" s="531"/>
      <c r="I20" s="532"/>
      <c r="J20" s="531"/>
      <c r="K20" s="870"/>
      <c r="L20" s="1976"/>
      <c r="M20" s="1968"/>
      <c r="N20" s="1968"/>
      <c r="O20" s="1968"/>
      <c r="P20" s="3684"/>
      <c r="Q20" s="1462"/>
      <c r="R20" s="1463"/>
      <c r="S20" s="1464"/>
      <c r="T20" s="1463"/>
      <c r="U20" s="1464"/>
      <c r="V20" s="1463"/>
      <c r="W20" s="1464"/>
      <c r="X20" s="1457"/>
      <c r="Y20" s="3684"/>
      <c r="Z20" s="1465"/>
      <c r="AA20" s="1466">
        <v>1</v>
      </c>
      <c r="AB20" s="1466">
        <v>1</v>
      </c>
      <c r="AC20" s="1466">
        <v>1</v>
      </c>
    </row>
    <row r="21" spans="1:29" ht="30">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6">
      <c r="A22" s="508"/>
      <c r="B22" s="554"/>
      <c r="C22" s="543"/>
      <c r="D22" s="531"/>
      <c r="E22" s="552"/>
      <c r="F22" s="531"/>
      <c r="G22" s="530"/>
      <c r="H22" s="531"/>
      <c r="I22" s="530"/>
      <c r="J22" s="531"/>
      <c r="K22" s="2395"/>
      <c r="L22" s="1976"/>
      <c r="M22" s="1968"/>
      <c r="N22" s="1968"/>
      <c r="O22" s="1968"/>
      <c r="P22" s="3684"/>
      <c r="Q22" s="2378"/>
      <c r="R22" s="1463"/>
      <c r="S22" s="1464"/>
      <c r="T22" s="1463"/>
      <c r="U22" s="1464"/>
      <c r="V22" s="1463"/>
      <c r="W22" s="1464"/>
      <c r="X22" s="2380"/>
      <c r="Y22" s="3684"/>
      <c r="Z22" s="2379"/>
      <c r="AA22" s="1466">
        <v>1</v>
      </c>
      <c r="AB22" s="1466">
        <v>1</v>
      </c>
      <c r="AC22" s="1466">
        <v>1</v>
      </c>
    </row>
    <row r="23" spans="1:29" ht="60">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84"/>
      <c r="Q23" s="1462" t="str">
        <f>B23</f>
        <v>环境质量</v>
      </c>
      <c r="R23" s="1463" t="s">
        <v>8</v>
      </c>
      <c r="S23" s="1464">
        <f>F23</f>
        <v>100</v>
      </c>
      <c r="T23" s="1463" t="s">
        <v>8</v>
      </c>
      <c r="U23" s="1464">
        <f>H23</f>
        <v>100</v>
      </c>
      <c r="V23" s="1463" t="s">
        <v>8</v>
      </c>
      <c r="W23" s="1464">
        <f>J23</f>
        <v>100</v>
      </c>
      <c r="X23" s="1457"/>
      <c r="Y23" s="3684"/>
      <c r="Z23" s="1465" t="str">
        <f>Q23</f>
        <v>环境质量</v>
      </c>
      <c r="AA23" s="1466">
        <f t="shared" si="3"/>
        <v>1</v>
      </c>
      <c r="AB23" s="1466">
        <f t="shared" si="4"/>
        <v>1</v>
      </c>
      <c r="AC23" s="1466">
        <f t="shared" si="5"/>
        <v>1</v>
      </c>
    </row>
    <row r="24" spans="1:29" ht="16">
      <c r="A24" s="508"/>
      <c r="B24" s="554"/>
      <c r="C24" s="530"/>
      <c r="D24" s="531"/>
      <c r="E24" s="534"/>
      <c r="F24" s="531"/>
      <c r="G24" s="532"/>
      <c r="H24" s="531"/>
      <c r="I24" s="532"/>
      <c r="J24" s="531"/>
      <c r="K24" s="870"/>
      <c r="L24" s="1976"/>
      <c r="M24" s="1968"/>
      <c r="N24" s="1968"/>
      <c r="O24" s="1968"/>
      <c r="P24" s="3684"/>
      <c r="Q24" s="1462"/>
      <c r="R24" s="1463"/>
      <c r="S24" s="1464"/>
      <c r="T24" s="1463"/>
      <c r="U24" s="1464"/>
      <c r="V24" s="1463"/>
      <c r="W24" s="1464"/>
      <c r="X24" s="1457"/>
      <c r="Y24" s="3684"/>
      <c r="Z24" s="1465"/>
      <c r="AA24" s="1466">
        <v>1</v>
      </c>
      <c r="AB24" s="1466">
        <v>1</v>
      </c>
      <c r="AC24" s="1466">
        <v>1</v>
      </c>
    </row>
    <row r="25" spans="1:29" ht="30">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84"/>
      <c r="Q25" s="1462" t="str">
        <f>B25</f>
        <v>毗邻道路的类型与等级</v>
      </c>
      <c r="R25" s="1463" t="s">
        <v>8</v>
      </c>
      <c r="S25" s="1464">
        <f>F25</f>
        <v>100</v>
      </c>
      <c r="T25" s="1463" t="s">
        <v>8</v>
      </c>
      <c r="U25" s="1464">
        <f>H25</f>
        <v>100</v>
      </c>
      <c r="V25" s="1463" t="s">
        <v>8</v>
      </c>
      <c r="W25" s="1464">
        <f>J25</f>
        <v>100</v>
      </c>
      <c r="X25" s="1457"/>
      <c r="Y25" s="3684"/>
      <c r="Z25" s="1465" t="str">
        <f>Q25</f>
        <v>毗邻道路的类型与等级</v>
      </c>
      <c r="AA25" s="1466">
        <f t="shared" si="3"/>
        <v>1</v>
      </c>
      <c r="AB25" s="1466">
        <f t="shared" si="4"/>
        <v>1</v>
      </c>
      <c r="AC25" s="1466">
        <f t="shared" si="5"/>
        <v>1</v>
      </c>
    </row>
    <row r="26" spans="1:29" ht="16">
      <c r="A26" s="491"/>
      <c r="B26" s="542"/>
      <c r="C26" s="556"/>
      <c r="D26" s="516"/>
      <c r="E26" s="559"/>
      <c r="F26" s="516"/>
      <c r="G26" s="556"/>
      <c r="H26" s="516"/>
      <c r="I26" s="559"/>
      <c r="J26" s="516"/>
      <c r="K26" s="870"/>
      <c r="L26" s="1976"/>
      <c r="M26" s="1968"/>
      <c r="N26" s="1968"/>
      <c r="O26" s="1968"/>
      <c r="P26" s="3684"/>
      <c r="Q26" s="1462"/>
      <c r="R26" s="1463"/>
      <c r="S26" s="1464"/>
      <c r="T26" s="1463"/>
      <c r="U26" s="1464"/>
      <c r="V26" s="1463"/>
      <c r="W26" s="1464"/>
      <c r="X26" s="1457"/>
      <c r="Y26" s="3684"/>
      <c r="Z26" s="1465"/>
      <c r="AA26" s="1466">
        <v>1</v>
      </c>
      <c r="AB26" s="1466">
        <v>1</v>
      </c>
      <c r="AC26" s="1466">
        <v>1</v>
      </c>
    </row>
    <row r="27" spans="1:29" ht="16">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84"/>
      <c r="Q27" s="1462" t="str">
        <f t="shared" ref="Q27:Q47" si="11">B27</f>
        <v>楼层</v>
      </c>
      <c r="R27" s="1463" t="s">
        <v>8</v>
      </c>
      <c r="S27" s="1464">
        <f>F27</f>
        <v>100</v>
      </c>
      <c r="T27" s="1463" t="s">
        <v>8</v>
      </c>
      <c r="U27" s="1464">
        <f>H27</f>
        <v>100</v>
      </c>
      <c r="V27" s="1463" t="s">
        <v>8</v>
      </c>
      <c r="W27" s="1464">
        <f>J27</f>
        <v>100</v>
      </c>
      <c r="X27" s="1457"/>
      <c r="Y27" s="3684"/>
      <c r="Z27" s="1465" t="str">
        <f>Q27</f>
        <v>楼层</v>
      </c>
      <c r="AA27" s="1466">
        <f t="shared" si="3"/>
        <v>1</v>
      </c>
      <c r="AB27" s="1466">
        <f t="shared" si="4"/>
        <v>1</v>
      </c>
      <c r="AC27" s="1466">
        <f t="shared" si="5"/>
        <v>1</v>
      </c>
    </row>
    <row r="28" spans="1:29" s="1166" customFormat="1" ht="16">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84"/>
      <c r="Q28" s="1097" t="str">
        <f t="shared" si="11"/>
        <v>朝向</v>
      </c>
      <c r="R28" s="1458" t="s">
        <v>8</v>
      </c>
      <c r="S28" s="1459">
        <f>F28</f>
        <v>100</v>
      </c>
      <c r="T28" s="1458" t="s">
        <v>8</v>
      </c>
      <c r="U28" s="1459">
        <f>H28</f>
        <v>100</v>
      </c>
      <c r="V28" s="1458" t="s">
        <v>8</v>
      </c>
      <c r="W28" s="1459">
        <f>J28</f>
        <v>100</v>
      </c>
      <c r="X28" s="1460"/>
      <c r="Y28" s="3684"/>
      <c r="Z28" s="1096" t="str">
        <f>Q28</f>
        <v>朝向</v>
      </c>
      <c r="AA28" s="1466">
        <f>D28/F28</f>
        <v>1</v>
      </c>
      <c r="AB28" s="1466">
        <f>D28/H28</f>
        <v>1</v>
      </c>
      <c r="AC28" s="1466">
        <f>D28/J28</f>
        <v>1</v>
      </c>
    </row>
    <row r="29" spans="1:29" ht="16">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84"/>
      <c r="Q29" s="1462">
        <f t="shared" si="11"/>
        <v>111</v>
      </c>
      <c r="R29" s="1463" t="s">
        <v>8</v>
      </c>
      <c r="S29" s="1464">
        <f t="shared" ref="S29:S47" si="12">F29</f>
        <v>100</v>
      </c>
      <c r="T29" s="1463" t="s">
        <v>8</v>
      </c>
      <c r="U29" s="1464">
        <f t="shared" ref="U29:U47" si="13">H29</f>
        <v>100</v>
      </c>
      <c r="V29" s="1463" t="s">
        <v>8</v>
      </c>
      <c r="W29" s="1464">
        <f t="shared" ref="W29:W47" si="14">J29</f>
        <v>100</v>
      </c>
      <c r="X29" s="1457"/>
      <c r="Y29" s="3684"/>
      <c r="Z29" s="1465">
        <f t="shared" ref="Z29:Z47" si="15">Q29</f>
        <v>111</v>
      </c>
      <c r="AA29" s="1466">
        <f t="shared" si="3"/>
        <v>1</v>
      </c>
      <c r="AB29" s="1466">
        <f t="shared" si="4"/>
        <v>1</v>
      </c>
      <c r="AC29" s="1466">
        <f t="shared" si="5"/>
        <v>1</v>
      </c>
    </row>
    <row r="30" spans="1:29" ht="16">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84"/>
      <c r="Q30" s="1462">
        <f t="shared" si="11"/>
        <v>111</v>
      </c>
      <c r="R30" s="1463" t="s">
        <v>8</v>
      </c>
      <c r="S30" s="1464">
        <f t="shared" si="12"/>
        <v>100</v>
      </c>
      <c r="T30" s="1463" t="s">
        <v>8</v>
      </c>
      <c r="U30" s="1464">
        <f t="shared" si="13"/>
        <v>100</v>
      </c>
      <c r="V30" s="1463" t="s">
        <v>8</v>
      </c>
      <c r="W30" s="1464">
        <f t="shared" si="14"/>
        <v>100</v>
      </c>
      <c r="X30" s="1457"/>
      <c r="Y30" s="3684"/>
      <c r="Z30" s="1465">
        <f t="shared" si="15"/>
        <v>111</v>
      </c>
      <c r="AA30" s="1466">
        <f t="shared" si="3"/>
        <v>1</v>
      </c>
      <c r="AB30" s="1466">
        <f t="shared" si="4"/>
        <v>1</v>
      </c>
      <c r="AC30" s="1466">
        <f t="shared" si="5"/>
        <v>1</v>
      </c>
    </row>
    <row r="31" spans="1:29" ht="16">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84"/>
      <c r="Q31" s="1462">
        <f t="shared" si="11"/>
        <v>111</v>
      </c>
      <c r="R31" s="1463" t="s">
        <v>8</v>
      </c>
      <c r="S31" s="1464">
        <f t="shared" si="12"/>
        <v>100</v>
      </c>
      <c r="T31" s="1463" t="s">
        <v>8</v>
      </c>
      <c r="U31" s="1464">
        <f t="shared" si="13"/>
        <v>100</v>
      </c>
      <c r="V31" s="1463" t="s">
        <v>8</v>
      </c>
      <c r="W31" s="1464">
        <f t="shared" si="14"/>
        <v>100</v>
      </c>
      <c r="X31" s="1457"/>
      <c r="Y31" s="3684"/>
      <c r="Z31" s="1465">
        <f t="shared" si="15"/>
        <v>111</v>
      </c>
      <c r="AA31" s="1466">
        <f t="shared" si="3"/>
        <v>1</v>
      </c>
      <c r="AB31" s="1466">
        <f t="shared" si="4"/>
        <v>1</v>
      </c>
      <c r="AC31" s="1466">
        <f t="shared" si="5"/>
        <v>1</v>
      </c>
    </row>
    <row r="32" spans="1:29" ht="17"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84"/>
      <c r="Q32" s="1462">
        <f t="shared" si="11"/>
        <v>111</v>
      </c>
      <c r="R32" s="1463" t="s">
        <v>8</v>
      </c>
      <c r="S32" s="1464">
        <f t="shared" si="12"/>
        <v>100</v>
      </c>
      <c r="T32" s="1463" t="s">
        <v>8</v>
      </c>
      <c r="U32" s="1464">
        <f t="shared" si="13"/>
        <v>100</v>
      </c>
      <c r="V32" s="1463" t="s">
        <v>8</v>
      </c>
      <c r="W32" s="1464">
        <f t="shared" si="14"/>
        <v>100</v>
      </c>
      <c r="X32" s="1457"/>
      <c r="Y32" s="3684"/>
      <c r="Z32" s="1465">
        <f t="shared" si="15"/>
        <v>111</v>
      </c>
      <c r="AA32" s="1466">
        <f t="shared" si="3"/>
        <v>1</v>
      </c>
      <c r="AB32" s="1466">
        <f t="shared" si="4"/>
        <v>1</v>
      </c>
      <c r="AC32" s="1466">
        <f t="shared" si="5"/>
        <v>1</v>
      </c>
    </row>
    <row r="33" spans="1:29" ht="16">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85" t="s">
        <v>528</v>
      </c>
      <c r="Q33" s="1462" t="str">
        <f t="shared" si="11"/>
        <v>建筑类型</v>
      </c>
      <c r="R33" s="1463" t="s">
        <v>8</v>
      </c>
      <c r="S33" s="1464">
        <f t="shared" si="12"/>
        <v>100</v>
      </c>
      <c r="T33" s="1463" t="s">
        <v>8</v>
      </c>
      <c r="U33" s="1464">
        <f t="shared" si="13"/>
        <v>100</v>
      </c>
      <c r="V33" s="1463" t="s">
        <v>8</v>
      </c>
      <c r="W33" s="1464">
        <f t="shared" si="14"/>
        <v>100</v>
      </c>
      <c r="X33" s="1457"/>
      <c r="Y33" s="3686" t="s">
        <v>528</v>
      </c>
      <c r="Z33" s="1465" t="str">
        <f t="shared" si="15"/>
        <v>建筑类型</v>
      </c>
      <c r="AA33" s="1466">
        <f t="shared" si="3"/>
        <v>1</v>
      </c>
      <c r="AB33" s="1466">
        <f t="shared" si="4"/>
        <v>1</v>
      </c>
      <c r="AC33" s="1466">
        <f t="shared" si="5"/>
        <v>1</v>
      </c>
    </row>
    <row r="34" spans="1:29" s="1248" customFormat="1" ht="16">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86"/>
      <c r="Q34" s="1491" t="str">
        <f t="shared" si="11"/>
        <v>项目建筑规模</v>
      </c>
      <c r="R34" s="1467" t="s">
        <v>8</v>
      </c>
      <c r="S34" s="1468" t="e">
        <f t="shared" si="12"/>
        <v>#N/A</v>
      </c>
      <c r="T34" s="1467" t="s">
        <v>8</v>
      </c>
      <c r="U34" s="1468" t="e">
        <f t="shared" si="13"/>
        <v>#N/A</v>
      </c>
      <c r="V34" s="1467" t="s">
        <v>8</v>
      </c>
      <c r="W34" s="1468" t="e">
        <f t="shared" si="14"/>
        <v>#N/A</v>
      </c>
      <c r="X34" s="1469"/>
      <c r="Y34" s="3686"/>
      <c r="Z34" s="1470" t="str">
        <f t="shared" si="15"/>
        <v>项目建筑规模</v>
      </c>
      <c r="AA34" s="1466" t="e">
        <f t="shared" si="3"/>
        <v>#N/A</v>
      </c>
      <c r="AB34" s="1466" t="e">
        <f t="shared" si="4"/>
        <v>#N/A</v>
      </c>
      <c r="AC34" s="1466" t="e">
        <f t="shared" si="5"/>
        <v>#N/A</v>
      </c>
    </row>
    <row r="35" spans="1:29" ht="16">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86"/>
      <c r="Q35" s="1462" t="str">
        <f t="shared" si="11"/>
        <v>建筑结构</v>
      </c>
      <c r="R35" s="1463" t="s">
        <v>8</v>
      </c>
      <c r="S35" s="1464">
        <f t="shared" si="12"/>
        <v>100</v>
      </c>
      <c r="T35" s="1463" t="s">
        <v>8</v>
      </c>
      <c r="U35" s="1464">
        <f t="shared" si="13"/>
        <v>100</v>
      </c>
      <c r="V35" s="1463" t="s">
        <v>8</v>
      </c>
      <c r="W35" s="1464">
        <f t="shared" si="14"/>
        <v>100</v>
      </c>
      <c r="X35" s="1457"/>
      <c r="Y35" s="3686"/>
      <c r="Z35" s="1465" t="str">
        <f t="shared" si="15"/>
        <v>建筑结构</v>
      </c>
      <c r="AA35" s="1466">
        <f t="shared" si="3"/>
        <v>1</v>
      </c>
      <c r="AB35" s="1466">
        <f t="shared" si="4"/>
        <v>1</v>
      </c>
      <c r="AC35" s="1466">
        <f t="shared" si="5"/>
        <v>1</v>
      </c>
    </row>
    <row r="36" spans="1:29" ht="16">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86"/>
      <c r="Q36" s="1462" t="str">
        <f t="shared" si="11"/>
        <v>公共部分装修</v>
      </c>
      <c r="R36" s="1463" t="s">
        <v>8</v>
      </c>
      <c r="S36" s="1464">
        <f t="shared" si="12"/>
        <v>100</v>
      </c>
      <c r="T36" s="1463" t="s">
        <v>8</v>
      </c>
      <c r="U36" s="1464">
        <f t="shared" si="13"/>
        <v>100</v>
      </c>
      <c r="V36" s="1463" t="s">
        <v>8</v>
      </c>
      <c r="W36" s="1464">
        <f t="shared" si="14"/>
        <v>100</v>
      </c>
      <c r="X36" s="1457"/>
      <c r="Y36" s="3686"/>
      <c r="Z36" s="1465" t="str">
        <f t="shared" si="15"/>
        <v>公共部分装修</v>
      </c>
      <c r="AA36" s="1466">
        <f t="shared" si="3"/>
        <v>1</v>
      </c>
      <c r="AB36" s="1466">
        <f t="shared" si="4"/>
        <v>1</v>
      </c>
      <c r="AC36" s="1466">
        <f t="shared" si="5"/>
        <v>1</v>
      </c>
    </row>
    <row r="37" spans="1:29" ht="16">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86"/>
      <c r="Q37" s="1462" t="str">
        <f t="shared" si="11"/>
        <v>成新度</v>
      </c>
      <c r="R37" s="1463" t="s">
        <v>8</v>
      </c>
      <c r="S37" s="1464" t="e">
        <f t="shared" si="12"/>
        <v>#N/A</v>
      </c>
      <c r="T37" s="1463" t="s">
        <v>8</v>
      </c>
      <c r="U37" s="1464" t="e">
        <f t="shared" si="13"/>
        <v>#N/A</v>
      </c>
      <c r="V37" s="1463" t="s">
        <v>8</v>
      </c>
      <c r="W37" s="1464" t="e">
        <f t="shared" si="14"/>
        <v>#N/A</v>
      </c>
      <c r="X37" s="1457"/>
      <c r="Y37" s="3686"/>
      <c r="Z37" s="1465" t="str">
        <f t="shared" si="15"/>
        <v>成新度</v>
      </c>
      <c r="AA37" s="1466" t="e">
        <f t="shared" si="3"/>
        <v>#N/A</v>
      </c>
      <c r="AB37" s="1466" t="e">
        <f t="shared" si="4"/>
        <v>#N/A</v>
      </c>
      <c r="AC37" s="1466" t="e">
        <f t="shared" si="5"/>
        <v>#N/A</v>
      </c>
    </row>
    <row r="38" spans="1:29" s="1166" customFormat="1" ht="16">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86"/>
      <c r="Q38" s="1097" t="str">
        <f t="shared" si="11"/>
        <v>写字楼等级</v>
      </c>
      <c r="R38" s="1458" t="s">
        <v>8</v>
      </c>
      <c r="S38" s="1459">
        <f t="shared" si="12"/>
        <v>100</v>
      </c>
      <c r="T38" s="1458" t="s">
        <v>8</v>
      </c>
      <c r="U38" s="1459">
        <f t="shared" si="13"/>
        <v>100</v>
      </c>
      <c r="V38" s="1458" t="s">
        <v>8</v>
      </c>
      <c r="W38" s="1459">
        <f t="shared" si="14"/>
        <v>100</v>
      </c>
      <c r="X38" s="1460"/>
      <c r="Y38" s="3686"/>
      <c r="Z38" s="1096" t="str">
        <f t="shared" si="15"/>
        <v>写字楼等级</v>
      </c>
      <c r="AA38" s="1461">
        <f t="shared" si="3"/>
        <v>1</v>
      </c>
      <c r="AB38" s="1461">
        <f t="shared" si="4"/>
        <v>1</v>
      </c>
      <c r="AC38" s="1461">
        <f t="shared" si="5"/>
        <v>1</v>
      </c>
    </row>
    <row r="39" spans="1:29" ht="16">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86" t="s">
        <v>528</v>
      </c>
      <c r="Q39" s="1462" t="str">
        <f t="shared" si="11"/>
        <v>物业管理</v>
      </c>
      <c r="R39" s="1463" t="s">
        <v>8</v>
      </c>
      <c r="S39" s="1464">
        <f t="shared" si="12"/>
        <v>100</v>
      </c>
      <c r="T39" s="1463" t="s">
        <v>8</v>
      </c>
      <c r="U39" s="1464">
        <f t="shared" si="13"/>
        <v>100</v>
      </c>
      <c r="V39" s="1463" t="s">
        <v>8</v>
      </c>
      <c r="W39" s="1464">
        <f t="shared" si="14"/>
        <v>100</v>
      </c>
      <c r="X39" s="1457"/>
      <c r="Y39" s="3686" t="s">
        <v>528</v>
      </c>
      <c r="Z39" s="1465" t="str">
        <f t="shared" si="15"/>
        <v>物业管理</v>
      </c>
      <c r="AA39" s="1466">
        <f t="shared" si="3"/>
        <v>1</v>
      </c>
      <c r="AB39" s="1466">
        <f t="shared" si="4"/>
        <v>1</v>
      </c>
      <c r="AC39" s="1466">
        <f t="shared" si="5"/>
        <v>1</v>
      </c>
    </row>
    <row r="40" spans="1:29" ht="16">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86"/>
      <c r="Q40" s="1462" t="str">
        <f t="shared" si="11"/>
        <v>市政基础设施</v>
      </c>
      <c r="R40" s="1463" t="s">
        <v>8</v>
      </c>
      <c r="S40" s="1464">
        <f t="shared" si="12"/>
        <v>100</v>
      </c>
      <c r="T40" s="1463" t="s">
        <v>8</v>
      </c>
      <c r="U40" s="1464">
        <f t="shared" si="13"/>
        <v>100</v>
      </c>
      <c r="V40" s="1463" t="s">
        <v>8</v>
      </c>
      <c r="W40" s="1464">
        <f t="shared" si="14"/>
        <v>100</v>
      </c>
      <c r="X40" s="1457"/>
      <c r="Y40" s="3686"/>
      <c r="Z40" s="1465" t="str">
        <f t="shared" si="15"/>
        <v>市政基础设施</v>
      </c>
      <c r="AA40" s="1466">
        <f t="shared" si="3"/>
        <v>1</v>
      </c>
      <c r="AB40" s="1466">
        <f t="shared" si="4"/>
        <v>1</v>
      </c>
      <c r="AC40" s="1466">
        <f t="shared" si="5"/>
        <v>1</v>
      </c>
    </row>
    <row r="41" spans="1:29" ht="16">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86"/>
      <c r="Q41" s="1462" t="str">
        <f t="shared" si="11"/>
        <v>层高</v>
      </c>
      <c r="R41" s="1463" t="s">
        <v>8</v>
      </c>
      <c r="S41" s="1464">
        <f t="shared" si="12"/>
        <v>100</v>
      </c>
      <c r="T41" s="1463" t="s">
        <v>8</v>
      </c>
      <c r="U41" s="1464">
        <f t="shared" si="13"/>
        <v>100</v>
      </c>
      <c r="V41" s="1463" t="s">
        <v>8</v>
      </c>
      <c r="W41" s="1464">
        <f t="shared" si="14"/>
        <v>100</v>
      </c>
      <c r="X41" s="1457"/>
      <c r="Y41" s="3686"/>
      <c r="Z41" s="1465" t="str">
        <f t="shared" si="15"/>
        <v>层高</v>
      </c>
      <c r="AA41" s="1466">
        <f t="shared" si="3"/>
        <v>1</v>
      </c>
      <c r="AB41" s="1466">
        <f t="shared" si="4"/>
        <v>1</v>
      </c>
      <c r="AC41" s="1466">
        <f t="shared" si="5"/>
        <v>1</v>
      </c>
    </row>
    <row r="42" spans="1:29" s="1248" customFormat="1" ht="16">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86"/>
      <c r="Q42" s="1491" t="str">
        <f t="shared" si="11"/>
        <v>单套建筑面积</v>
      </c>
      <c r="R42" s="1467" t="s">
        <v>8</v>
      </c>
      <c r="S42" s="1468">
        <f t="shared" si="12"/>
        <v>100</v>
      </c>
      <c r="T42" s="1467" t="s">
        <v>8</v>
      </c>
      <c r="U42" s="1468">
        <f t="shared" si="13"/>
        <v>100</v>
      </c>
      <c r="V42" s="1467" t="s">
        <v>8</v>
      </c>
      <c r="W42" s="1468">
        <f t="shared" si="14"/>
        <v>100</v>
      </c>
      <c r="X42" s="1469"/>
      <c r="Y42" s="3686"/>
      <c r="Z42" s="1470" t="str">
        <f t="shared" si="15"/>
        <v>单套建筑面积</v>
      </c>
      <c r="AA42" s="1466">
        <f t="shared" si="3"/>
        <v>1</v>
      </c>
      <c r="AB42" s="1466">
        <f t="shared" si="4"/>
        <v>1</v>
      </c>
      <c r="AC42" s="1466">
        <f t="shared" si="5"/>
        <v>1</v>
      </c>
    </row>
    <row r="43" spans="1:29" ht="16">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86"/>
      <c r="Q43" s="1462" t="str">
        <f t="shared" si="11"/>
        <v>内部装修</v>
      </c>
      <c r="R43" s="1463" t="s">
        <v>8</v>
      </c>
      <c r="S43" s="1464">
        <f t="shared" si="12"/>
        <v>100</v>
      </c>
      <c r="T43" s="1463" t="s">
        <v>8</v>
      </c>
      <c r="U43" s="1464">
        <f t="shared" si="13"/>
        <v>100</v>
      </c>
      <c r="V43" s="1463" t="s">
        <v>8</v>
      </c>
      <c r="W43" s="1464">
        <f t="shared" si="14"/>
        <v>100</v>
      </c>
      <c r="X43" s="1457"/>
      <c r="Y43" s="3686"/>
      <c r="Z43" s="1465" t="str">
        <f t="shared" si="15"/>
        <v>内部装修</v>
      </c>
      <c r="AA43" s="1466">
        <f t="shared" si="3"/>
        <v>1</v>
      </c>
      <c r="AB43" s="1466">
        <f t="shared" si="4"/>
        <v>1</v>
      </c>
      <c r="AC43" s="1466">
        <f t="shared" si="5"/>
        <v>1</v>
      </c>
    </row>
    <row r="44" spans="1:29" ht="16">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86"/>
      <c r="Q44" s="1462" t="str">
        <f t="shared" si="11"/>
        <v>内部装修维护情况</v>
      </c>
      <c r="R44" s="1463" t="s">
        <v>8</v>
      </c>
      <c r="S44" s="1464">
        <f t="shared" si="12"/>
        <v>100</v>
      </c>
      <c r="T44" s="1463" t="s">
        <v>8</v>
      </c>
      <c r="U44" s="1464">
        <f t="shared" si="13"/>
        <v>100</v>
      </c>
      <c r="V44" s="1463" t="s">
        <v>8</v>
      </c>
      <c r="W44" s="1464">
        <f t="shared" si="14"/>
        <v>100</v>
      </c>
      <c r="X44" s="1457"/>
      <c r="Y44" s="3686"/>
      <c r="Z44" s="1465" t="str">
        <f t="shared" si="15"/>
        <v>内部装修维护情况</v>
      </c>
      <c r="AA44" s="1466">
        <f t="shared" si="3"/>
        <v>1</v>
      </c>
      <c r="AB44" s="1466">
        <f t="shared" si="4"/>
        <v>1</v>
      </c>
      <c r="AC44" s="1466">
        <f t="shared" si="5"/>
        <v>1</v>
      </c>
    </row>
    <row r="45" spans="1:29" s="1166" customFormat="1" ht="16">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86"/>
      <c r="Q45" s="1097">
        <f t="shared" si="11"/>
        <v>111</v>
      </c>
      <c r="R45" s="1458" t="s">
        <v>8</v>
      </c>
      <c r="S45" s="1459">
        <f t="shared" si="12"/>
        <v>100</v>
      </c>
      <c r="T45" s="1458" t="s">
        <v>8</v>
      </c>
      <c r="U45" s="1459">
        <f t="shared" si="13"/>
        <v>100</v>
      </c>
      <c r="V45" s="1458" t="s">
        <v>8</v>
      </c>
      <c r="W45" s="1459">
        <f t="shared" si="14"/>
        <v>100</v>
      </c>
      <c r="X45" s="1460"/>
      <c r="Y45" s="3686"/>
      <c r="Z45" s="1096">
        <f t="shared" si="15"/>
        <v>111</v>
      </c>
      <c r="AA45" s="1461">
        <f t="shared" si="3"/>
        <v>1</v>
      </c>
      <c r="AB45" s="1461">
        <f t="shared" si="4"/>
        <v>1</v>
      </c>
      <c r="AC45" s="1461">
        <f t="shared" si="5"/>
        <v>1</v>
      </c>
    </row>
    <row r="46" spans="1:29" ht="16">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86"/>
      <c r="Q46" s="1462">
        <f t="shared" si="11"/>
        <v>111</v>
      </c>
      <c r="R46" s="1463" t="s">
        <v>8</v>
      </c>
      <c r="S46" s="1464">
        <f t="shared" si="12"/>
        <v>100</v>
      </c>
      <c r="T46" s="1463" t="s">
        <v>8</v>
      </c>
      <c r="U46" s="1464">
        <f t="shared" si="13"/>
        <v>100</v>
      </c>
      <c r="V46" s="1463" t="s">
        <v>8</v>
      </c>
      <c r="W46" s="1464">
        <f t="shared" si="14"/>
        <v>100</v>
      </c>
      <c r="X46" s="1457"/>
      <c r="Y46" s="3686"/>
      <c r="Z46" s="1465">
        <f t="shared" si="15"/>
        <v>111</v>
      </c>
      <c r="AA46" s="1466">
        <f t="shared" si="3"/>
        <v>1</v>
      </c>
      <c r="AB46" s="1466">
        <f t="shared" si="4"/>
        <v>1</v>
      </c>
      <c r="AC46" s="1466">
        <f t="shared" si="5"/>
        <v>1</v>
      </c>
    </row>
    <row r="47" spans="1:29" ht="17"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14"/>
      <c r="Q47" s="1462">
        <f t="shared" si="11"/>
        <v>111</v>
      </c>
      <c r="R47" s="1463" t="s">
        <v>8</v>
      </c>
      <c r="S47" s="1464">
        <f t="shared" si="12"/>
        <v>100</v>
      </c>
      <c r="T47" s="1463" t="s">
        <v>8</v>
      </c>
      <c r="U47" s="1464">
        <f t="shared" si="13"/>
        <v>100</v>
      </c>
      <c r="V47" s="1463" t="s">
        <v>8</v>
      </c>
      <c r="W47" s="1464">
        <f t="shared" si="14"/>
        <v>100</v>
      </c>
      <c r="X47" s="1457"/>
      <c r="Y47" s="3814"/>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88" t="str">
        <f>A48</f>
        <v>成交单价（元/平方米）</v>
      </c>
      <c r="Q48" s="3650"/>
      <c r="R48" s="3813">
        <f>E48</f>
        <v>0</v>
      </c>
      <c r="S48" s="3813"/>
      <c r="T48" s="3813">
        <f>G48</f>
        <v>0</v>
      </c>
      <c r="U48" s="3813"/>
      <c r="V48" s="3813">
        <f>I48</f>
        <v>0</v>
      </c>
      <c r="W48" s="3813"/>
      <c r="X48" s="1452"/>
      <c r="Y48" s="1471"/>
      <c r="Z48" s="1452"/>
      <c r="AA48" s="1452"/>
      <c r="AB48" s="1452"/>
      <c r="AC48" s="1452"/>
    </row>
    <row r="49" spans="1:29" ht="1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88" t="str">
        <f>A49</f>
        <v>比较价格（元/平方米）</v>
      </c>
      <c r="Q49" s="3650"/>
      <c r="R49" s="3813" t="e">
        <f>IF(F1="售价",ROUND(PRODUCT(R48,AA7:AA47),0),ROUND(PRODUCT(R48,AA7:AA47),1))</f>
        <v>#DIV/0!</v>
      </c>
      <c r="S49" s="3813"/>
      <c r="T49" s="3813" t="e">
        <f>IF(F1="售价",ROUND(PRODUCT(T48,AB7:AB47),0),ROUND(PRODUCT(T48,AB7:AB47),1))</f>
        <v>#DIV/0!</v>
      </c>
      <c r="U49" s="3813"/>
      <c r="V49" s="3813" t="e">
        <f>IF(F1="售价",ROUND(PRODUCT(V48,AC7:AC47),0),ROUND(PRODUCT(V48,AC7:AC47),1))</f>
        <v>#DIV/0!</v>
      </c>
      <c r="W49" s="3813"/>
      <c r="X49" s="1452"/>
      <c r="Y49" s="1452"/>
      <c r="Z49" s="1452"/>
      <c r="AA49" s="1452"/>
      <c r="AB49" s="1452"/>
      <c r="AC49" s="1452"/>
    </row>
    <row r="50" spans="1:29" ht="15" thickBot="1">
      <c r="A50" s="595" t="s">
        <v>2691</v>
      </c>
      <c r="B50" s="596"/>
      <c r="C50" s="2427" t="e">
        <f>R50</f>
        <v>#DIV/0!</v>
      </c>
      <c r="D50" s="2427"/>
      <c r="E50" s="2427"/>
      <c r="F50" s="2427"/>
      <c r="G50" s="2427"/>
      <c r="H50" s="2427"/>
      <c r="I50" s="2427"/>
      <c r="J50" s="2427"/>
      <c r="K50" s="1497"/>
      <c r="L50" s="1978"/>
      <c r="M50" s="1968"/>
      <c r="N50" s="1968"/>
      <c r="O50" s="1968"/>
      <c r="P50" s="3815" t="str">
        <f>A50</f>
        <v>估价对象XX用房的比较价格（楼面单价，元/平方米）</v>
      </c>
      <c r="Q50" s="3688"/>
      <c r="R50" s="3812" t="e">
        <f>IF(F1="售价",ROUND(IF(D49="简单平均",AVERAGE(R49:V49),R49*F49+T49*H49+V49*J49),0),ROUND(IF(D49="简单平均",AVERAGE(R49:V49),R49*F49+T49*H49+V49*J49),1))</f>
        <v>#DIV/0!</v>
      </c>
      <c r="S50" s="3812"/>
      <c r="T50" s="3812"/>
      <c r="U50" s="3812"/>
      <c r="V50" s="3812"/>
      <c r="W50" s="3812"/>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2022-9</v>
      </c>
      <c r="D59" s="2470">
        <f>EDATE(C59,-1)</f>
        <v>44774</v>
      </c>
      <c r="E59" s="2470">
        <f t="shared" ref="E59:O59" si="16">EDATE(D59,-1)</f>
        <v>44743</v>
      </c>
      <c r="F59" s="2470">
        <f t="shared" si="16"/>
        <v>44713</v>
      </c>
      <c r="G59" s="2470">
        <f t="shared" si="16"/>
        <v>44682</v>
      </c>
      <c r="H59" s="2470">
        <f t="shared" si="16"/>
        <v>44652</v>
      </c>
      <c r="I59" s="2470">
        <f t="shared" si="16"/>
        <v>44621</v>
      </c>
      <c r="J59" s="2470">
        <f t="shared" si="16"/>
        <v>44593</v>
      </c>
      <c r="K59" s="2470">
        <f t="shared" si="16"/>
        <v>44562</v>
      </c>
      <c r="L59" s="2470">
        <f t="shared" si="16"/>
        <v>44531</v>
      </c>
      <c r="M59" s="2470">
        <f t="shared" si="16"/>
        <v>44501</v>
      </c>
      <c r="N59" s="2470">
        <f t="shared" si="16"/>
        <v>44470</v>
      </c>
      <c r="O59" s="2470">
        <f t="shared" si="16"/>
        <v>44440</v>
      </c>
      <c r="P59" s="2043"/>
      <c r="Q59" s="1994"/>
      <c r="R59" s="1994"/>
      <c r="S59" s="1994"/>
      <c r="T59" s="1994"/>
      <c r="U59" s="1994"/>
      <c r="V59" s="1994"/>
      <c r="W59" s="1994"/>
      <c r="X59" s="1994"/>
      <c r="Y59" s="1994"/>
      <c r="Z59" s="1994"/>
      <c r="AA59" s="1994"/>
      <c r="AB59" s="1994"/>
      <c r="AC59" s="1994"/>
    </row>
    <row r="60" spans="1:29" s="1166" customFormat="1">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ht="15">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31"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6"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6"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ht="15">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6"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6"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6"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6"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31"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6"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6"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ht="15">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6"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6"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6"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6"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6"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6"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6"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6"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6"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6"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16"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647" customWidth="1"/>
    <col min="2" max="2" width="9" style="1647"/>
    <col min="3" max="4" width="9.6640625" style="1647" customWidth="1"/>
    <col min="5" max="16384" width="9" style="1647"/>
  </cols>
  <sheetData>
    <row r="1" spans="1:4" ht="24">
      <c r="A1" s="1646" t="s">
        <v>1693</v>
      </c>
    </row>
    <row r="2" spans="1:4">
      <c r="A2" s="1648"/>
    </row>
    <row r="3" spans="1:4" ht="17">
      <c r="A3" s="1666" t="str">
        <f>项目基本情况!B5&amp;"："</f>
        <v>：</v>
      </c>
    </row>
    <row r="4" spans="1:4" ht="36">
      <c r="A4" s="1660" t="str">
        <f>"受贵公司委托，我公司对"&amp;项目基本情况!K2&amp;项目基本情况!B9&amp;"进行了预评估。"</f>
        <v>受贵公司委托，我公司对北京市出让国有建设用地使用权市场价格进行了预评估。</v>
      </c>
    </row>
    <row r="5" spans="1:4" ht="17">
      <c r="A5" s="1663" t="s">
        <v>1694</v>
      </c>
    </row>
    <row r="6" spans="1:4" ht="72">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52670.3平方米。根据《建设工程规划许可证》[]、《出让合同》[]，估价对象规划建筑面积为83394.85平方米。</v>
      </c>
    </row>
    <row r="7" spans="1:4" ht="90">
      <c r="A7" s="2539" t="s">
        <v>2519</v>
      </c>
    </row>
    <row r="8" spans="1:4" ht="17">
      <c r="A8" s="1663" t="s">
        <v>1695</v>
      </c>
    </row>
    <row r="9" spans="1:4" ht="36">
      <c r="A9" s="1665" t="str">
        <f>IF(项目基本情况!B8="抵押",IF(项目基本情况!B5=项目基本情况!B6,定义!C51,定义!B51),定义!D51)</f>
        <v>本次评估为委托估价方了解标的物之市场价格提供参考依据而评估出让国有建设用地使用权市场价格。</v>
      </c>
    </row>
    <row r="10" spans="1:4" ht="17">
      <c r="A10" s="1666" t="s">
        <v>1811</v>
      </c>
    </row>
    <row r="11" spans="1:4" ht="17">
      <c r="A11" s="1649" t="str">
        <f>TEXT(项目基本情况!D3,"yyyy年m月d日;;")&amp;IF(项目基本情况!B3=项目基本情况!D3,"（评估专业人员勘察现场之日）","")</f>
        <v>2022年9月22日</v>
      </c>
    </row>
    <row r="12" spans="1:4" ht="17">
      <c r="A12" s="1666" t="s">
        <v>1810</v>
      </c>
    </row>
    <row r="13" spans="1:4" ht="18">
      <c r="A13" s="1660" t="s">
        <v>1856</v>
      </c>
    </row>
    <row r="14" spans="1:4" ht="18">
      <c r="A14" s="1660" t="str">
        <f>"根据"&amp;项目基本情况!F12&amp;"，本次评估估价对象证载（地类）用途为"&amp;项目基本情况!B12&amp;"。"</f>
        <v>根据《国有土地使用证》[]，本次评估估价对象证载（地类）用途为。</v>
      </c>
      <c r="C14" s="1650"/>
      <c r="D14" s="1651"/>
    </row>
    <row r="15" spans="1:4" ht="18">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
      <c r="A16" s="1660" t="s">
        <v>1857</v>
      </c>
    </row>
    <row r="17" spans="1:1" ht="54">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660" t="s">
        <v>1858</v>
      </c>
    </row>
    <row r="20" spans="1:1" ht="54">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根据《国有土地使用证》[]，估价对象（分摊）出让国有建设用地使用权面积为52670.3平方米。根据《建设工程规划许可证》[]、《出让合同》[]，估价对象规划建筑面积为83394.85平方米。</v>
      </c>
    </row>
    <row r="21" spans="1:1" ht="90">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660" t="s">
        <v>1859</v>
      </c>
    </row>
    <row r="23" spans="1:1" ht="17">
      <c r="A23" s="2541" t="s">
        <v>2520</v>
      </c>
    </row>
    <row r="24" spans="1:1" ht="18">
      <c r="A24" s="1660" t="s">
        <v>1860</v>
      </c>
    </row>
    <row r="25" spans="1:1" ht="72">
      <c r="A25" s="1660" t="str">
        <f>定义!C53</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row>
    <row r="26" spans="1:1" ht="90">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4">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666" t="s">
        <v>1812</v>
      </c>
    </row>
    <row r="30" spans="1:1" ht="72">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7">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7"/>
    </sheetView>
  </sheetViews>
  <sheetFormatPr baseColWidth="10" defaultColWidth="9" defaultRowHeight="14"/>
  <cols>
    <col min="1" max="1" width="10.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56" t="s">
        <v>500</v>
      </c>
      <c r="D4" s="3657"/>
      <c r="E4" s="3691" t="s">
        <v>501</v>
      </c>
      <c r="F4" s="3692"/>
      <c r="G4" s="3656" t="s">
        <v>502</v>
      </c>
      <c r="H4" s="3657"/>
      <c r="I4" s="3656" t="s">
        <v>503</v>
      </c>
      <c r="J4" s="3657"/>
      <c r="K4" s="490" t="s">
        <v>504</v>
      </c>
      <c r="L4" s="1967"/>
      <c r="M4" s="1968"/>
      <c r="N4" s="1968"/>
      <c r="O4" s="1968"/>
      <c r="P4" s="3658" t="s">
        <v>505</v>
      </c>
      <c r="Q4" s="3659"/>
      <c r="R4" s="3664" t="s">
        <v>501</v>
      </c>
      <c r="S4" s="3665"/>
      <c r="T4" s="3664" t="s">
        <v>502</v>
      </c>
      <c r="U4" s="3665"/>
      <c r="V4" s="3651" t="s">
        <v>503</v>
      </c>
      <c r="W4" s="3651"/>
      <c r="X4" s="1457"/>
      <c r="Y4" s="3664" t="s">
        <v>505</v>
      </c>
      <c r="Z4" s="3665"/>
      <c r="AA4" s="3653" t="s">
        <v>501</v>
      </c>
      <c r="AB4" s="3654" t="s">
        <v>502</v>
      </c>
      <c r="AC4" s="3653" t="s">
        <v>503</v>
      </c>
    </row>
    <row r="5" spans="1:29">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6"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6" thickBot="1">
      <c r="A7" s="2578"/>
      <c r="B7" s="2585" t="s">
        <v>507</v>
      </c>
      <c r="C7" s="495">
        <f>'数据-取费表'!B2</f>
        <v>44826</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80" t="s">
        <v>508</v>
      </c>
      <c r="Q7" s="3682"/>
      <c r="R7" s="1458" t="s">
        <v>8</v>
      </c>
      <c r="S7" s="1459">
        <f t="shared" ref="S7:S15" si="0">F7</f>
        <v>0</v>
      </c>
      <c r="T7" s="1458" t="s">
        <v>8</v>
      </c>
      <c r="U7" s="1459">
        <f t="shared" ref="U7:U15" si="1">H7</f>
        <v>0</v>
      </c>
      <c r="V7" s="1458" t="s">
        <v>8</v>
      </c>
      <c r="W7" s="1459">
        <f t="shared" ref="W7:W15"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50" t="s">
        <v>513</v>
      </c>
      <c r="Q9" s="1097" t="str">
        <f t="shared" ref="Q9:Q15" si="6">B9</f>
        <v>用途</v>
      </c>
      <c r="R9" s="1458" t="s">
        <v>8</v>
      </c>
      <c r="S9" s="1459">
        <f t="shared" si="0"/>
        <v>100</v>
      </c>
      <c r="T9" s="1458" t="s">
        <v>8</v>
      </c>
      <c r="U9" s="1459">
        <f t="shared" si="1"/>
        <v>100</v>
      </c>
      <c r="V9" s="1458" t="s">
        <v>8</v>
      </c>
      <c r="W9" s="1459">
        <f t="shared" si="2"/>
        <v>100</v>
      </c>
      <c r="X9" s="1460"/>
      <c r="Y9" s="3594" t="s">
        <v>514</v>
      </c>
      <c r="Z9" s="1096" t="str">
        <f t="shared" ref="Z9:Z15" si="7">Q9</f>
        <v>用途</v>
      </c>
      <c r="AA9" s="1461">
        <f t="shared" si="3"/>
        <v>1</v>
      </c>
      <c r="AB9" s="1461">
        <f t="shared" si="4"/>
        <v>1</v>
      </c>
      <c r="AC9" s="1461">
        <f t="shared" si="5"/>
        <v>1</v>
      </c>
    </row>
    <row r="10" spans="1:29" s="1247" customFormat="1" ht="30">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50"/>
      <c r="Q11" s="1097" t="str">
        <f t="shared" si="6"/>
        <v>容积率</v>
      </c>
      <c r="R11" s="1458" t="s">
        <v>8</v>
      </c>
      <c r="S11" s="1459" t="e">
        <f t="shared" si="0"/>
        <v>#N/A</v>
      </c>
      <c r="T11" s="1458" t="s">
        <v>8</v>
      </c>
      <c r="U11" s="1459" t="e">
        <f t="shared" si="1"/>
        <v>#N/A</v>
      </c>
      <c r="V11" s="1458" t="s">
        <v>8</v>
      </c>
      <c r="W11" s="1459" t="e">
        <f t="shared" si="2"/>
        <v>#N/A</v>
      </c>
      <c r="X11" s="1460"/>
      <c r="Y11" s="3594"/>
      <c r="Z11" s="1096" t="str">
        <f t="shared" si="7"/>
        <v>容积率</v>
      </c>
      <c r="AA11" s="1461" t="e">
        <f t="shared" si="3"/>
        <v>#N/A</v>
      </c>
      <c r="AB11" s="1461" t="e">
        <f t="shared" si="4"/>
        <v>#N/A</v>
      </c>
      <c r="AC11" s="1461" t="e">
        <f t="shared" si="5"/>
        <v>#N/A</v>
      </c>
    </row>
    <row r="12" spans="1:29" s="1166" customFormat="1" ht="16">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6">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17"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50"/>
      <c r="Q14" s="1097">
        <f t="shared" si="6"/>
        <v>111</v>
      </c>
      <c r="R14" s="1458" t="s">
        <v>8</v>
      </c>
      <c r="S14" s="1459">
        <f t="shared" si="0"/>
        <v>100</v>
      </c>
      <c r="T14" s="1458" t="s">
        <v>8</v>
      </c>
      <c r="U14" s="1459">
        <f t="shared" si="1"/>
        <v>100</v>
      </c>
      <c r="V14" s="1458" t="s">
        <v>8</v>
      </c>
      <c r="W14" s="1459">
        <f t="shared" si="2"/>
        <v>100</v>
      </c>
      <c r="X14" s="1460"/>
      <c r="Y14" s="3594"/>
      <c r="Z14" s="1096">
        <f t="shared" si="7"/>
        <v>111</v>
      </c>
      <c r="AA14" s="1461">
        <f t="shared" si="3"/>
        <v>1</v>
      </c>
      <c r="AB14" s="1461">
        <f t="shared" si="4"/>
        <v>1</v>
      </c>
      <c r="AC14" s="1461">
        <f t="shared" si="5"/>
        <v>1</v>
      </c>
    </row>
    <row r="15" spans="1:29" ht="60">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83" t="s">
        <v>518</v>
      </c>
      <c r="Q15" s="1462" t="str">
        <f t="shared" si="6"/>
        <v>产业集聚程度</v>
      </c>
      <c r="R15" s="1463" t="s">
        <v>8</v>
      </c>
      <c r="S15" s="1464">
        <f t="shared" si="0"/>
        <v>100</v>
      </c>
      <c r="T15" s="1463" t="s">
        <v>8</v>
      </c>
      <c r="U15" s="1464">
        <f t="shared" si="1"/>
        <v>100</v>
      </c>
      <c r="V15" s="1463" t="s">
        <v>8</v>
      </c>
      <c r="W15" s="1464">
        <f t="shared" si="2"/>
        <v>100</v>
      </c>
      <c r="X15" s="1457"/>
      <c r="Y15" s="3683" t="s">
        <v>518</v>
      </c>
      <c r="Z15" s="1465" t="str">
        <f t="shared" si="7"/>
        <v>产业集聚程度</v>
      </c>
      <c r="AA15" s="1466">
        <f t="shared" si="3"/>
        <v>1</v>
      </c>
      <c r="AB15" s="1466">
        <f t="shared" si="4"/>
        <v>1</v>
      </c>
      <c r="AC15" s="1466">
        <f t="shared" si="5"/>
        <v>1</v>
      </c>
    </row>
    <row r="16" spans="1:29" ht="16">
      <c r="A16" s="508"/>
      <c r="B16" s="840"/>
      <c r="C16" s="552"/>
      <c r="D16" s="531"/>
      <c r="E16" s="552"/>
      <c r="F16" s="533"/>
      <c r="G16" s="552"/>
      <c r="H16" s="535"/>
      <c r="I16" s="552"/>
      <c r="J16" s="531"/>
      <c r="K16" s="870"/>
      <c r="L16" s="1976"/>
      <c r="M16" s="1968"/>
      <c r="N16" s="1968"/>
      <c r="O16" s="1975"/>
      <c r="P16" s="3684"/>
      <c r="Q16" s="1462"/>
      <c r="R16" s="1463"/>
      <c r="S16" s="1464"/>
      <c r="T16" s="1463"/>
      <c r="U16" s="1464"/>
      <c r="V16" s="1463"/>
      <c r="W16" s="1464"/>
      <c r="X16" s="1457"/>
      <c r="Y16" s="3684"/>
      <c r="Z16" s="1465"/>
      <c r="AA16" s="1466">
        <v>1</v>
      </c>
      <c r="AB16" s="1466">
        <v>1</v>
      </c>
      <c r="AC16" s="1466">
        <v>1</v>
      </c>
    </row>
    <row r="17" spans="1:29" ht="90">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84"/>
      <c r="Q17" s="1462" t="str">
        <f>B17</f>
        <v>交通便捷度</v>
      </c>
      <c r="R17" s="1463" t="s">
        <v>8</v>
      </c>
      <c r="S17" s="1464">
        <f>F17</f>
        <v>100</v>
      </c>
      <c r="T17" s="1463" t="s">
        <v>8</v>
      </c>
      <c r="U17" s="1464">
        <f>H17</f>
        <v>100</v>
      </c>
      <c r="V17" s="1463" t="s">
        <v>8</v>
      </c>
      <c r="W17" s="1464">
        <f>J17</f>
        <v>100</v>
      </c>
      <c r="X17" s="1457"/>
      <c r="Y17" s="3684"/>
      <c r="Z17" s="1465" t="str">
        <f>Q17</f>
        <v>交通便捷度</v>
      </c>
      <c r="AA17" s="1466">
        <f t="shared" si="3"/>
        <v>1</v>
      </c>
      <c r="AB17" s="1466">
        <f t="shared" si="4"/>
        <v>1</v>
      </c>
      <c r="AC17" s="1466">
        <f t="shared" si="5"/>
        <v>1</v>
      </c>
    </row>
    <row r="18" spans="1:29" ht="16">
      <c r="A18" s="508"/>
      <c r="B18" s="571"/>
      <c r="C18" s="844"/>
      <c r="D18" s="535"/>
      <c r="E18" s="544"/>
      <c r="F18" s="539"/>
      <c r="G18" s="545"/>
      <c r="H18" s="531"/>
      <c r="I18" s="544"/>
      <c r="J18" s="531"/>
      <c r="K18" s="870"/>
      <c r="L18" s="1976"/>
      <c r="M18" s="1968"/>
      <c r="N18" s="1968"/>
      <c r="O18" s="1975"/>
      <c r="P18" s="3684"/>
      <c r="Q18" s="1462"/>
      <c r="R18" s="1463"/>
      <c r="S18" s="1464"/>
      <c r="T18" s="1463"/>
      <c r="U18" s="1464"/>
      <c r="V18" s="1463"/>
      <c r="W18" s="1464"/>
      <c r="X18" s="1457"/>
      <c r="Y18" s="3684"/>
      <c r="Z18" s="1465"/>
      <c r="AA18" s="1466">
        <v>1</v>
      </c>
      <c r="AB18" s="1466">
        <v>1</v>
      </c>
      <c r="AC18" s="1466">
        <v>1</v>
      </c>
    </row>
    <row r="19" spans="1:29" ht="4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84"/>
      <c r="Q19" s="1462" t="str">
        <f>B19</f>
        <v>公共配套设施</v>
      </c>
      <c r="R19" s="1463" t="s">
        <v>8</v>
      </c>
      <c r="S19" s="1464">
        <f>F19</f>
        <v>100</v>
      </c>
      <c r="T19" s="1463" t="s">
        <v>8</v>
      </c>
      <c r="U19" s="1464">
        <f>H19</f>
        <v>100</v>
      </c>
      <c r="V19" s="1463" t="s">
        <v>8</v>
      </c>
      <c r="W19" s="1464">
        <f>J19</f>
        <v>100</v>
      </c>
      <c r="X19" s="1457"/>
      <c r="Y19" s="3684"/>
      <c r="Z19" s="1465" t="str">
        <f>Q19</f>
        <v>公共配套设施</v>
      </c>
      <c r="AA19" s="1466">
        <f t="shared" si="3"/>
        <v>1</v>
      </c>
      <c r="AB19" s="1466">
        <f t="shared" si="4"/>
        <v>1</v>
      </c>
      <c r="AC19" s="1466">
        <f t="shared" si="5"/>
        <v>1</v>
      </c>
    </row>
    <row r="20" spans="1:29" ht="16">
      <c r="A20" s="508"/>
      <c r="B20" s="542"/>
      <c r="C20" s="552"/>
      <c r="D20" s="531"/>
      <c r="E20" s="532"/>
      <c r="F20" s="533"/>
      <c r="G20" s="534"/>
      <c r="H20" s="531"/>
      <c r="I20" s="532"/>
      <c r="J20" s="531"/>
      <c r="K20" s="870"/>
      <c r="L20" s="1976"/>
      <c r="M20" s="1968"/>
      <c r="N20" s="1968"/>
      <c r="O20" s="1975"/>
      <c r="P20" s="3684"/>
      <c r="Q20" s="1462"/>
      <c r="R20" s="1463"/>
      <c r="S20" s="1464"/>
      <c r="T20" s="1463"/>
      <c r="U20" s="1464"/>
      <c r="V20" s="1463"/>
      <c r="W20" s="1464"/>
      <c r="X20" s="1457"/>
      <c r="Y20" s="3684"/>
      <c r="Z20" s="1465"/>
      <c r="AA20" s="1466">
        <v>1</v>
      </c>
      <c r="AB20" s="1466">
        <v>1</v>
      </c>
      <c r="AC20" s="1466">
        <v>1</v>
      </c>
    </row>
    <row r="21" spans="1:29" ht="30">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84"/>
      <c r="Q21" s="2378" t="str">
        <f>B21</f>
        <v>基础设施水平</v>
      </c>
      <c r="R21" s="1463" t="s">
        <v>8</v>
      </c>
      <c r="S21" s="1464">
        <f>F21</f>
        <v>100</v>
      </c>
      <c r="T21" s="1463" t="s">
        <v>8</v>
      </c>
      <c r="U21" s="1464">
        <f>H21</f>
        <v>100</v>
      </c>
      <c r="V21" s="1463" t="s">
        <v>8</v>
      </c>
      <c r="W21" s="1464">
        <f>J21</f>
        <v>100</v>
      </c>
      <c r="X21" s="2380"/>
      <c r="Y21" s="3684"/>
      <c r="Z21" s="2379" t="str">
        <f>Q21</f>
        <v>基础设施水平</v>
      </c>
      <c r="AA21" s="1466">
        <f t="shared" ref="AA21" si="8">D21/F21</f>
        <v>1</v>
      </c>
      <c r="AB21" s="1466">
        <f t="shared" ref="AB21" si="9">D21/H21</f>
        <v>1</v>
      </c>
      <c r="AC21" s="1466">
        <f t="shared" ref="AC21" si="10">D21/J21</f>
        <v>1</v>
      </c>
    </row>
    <row r="22" spans="1:29" ht="16">
      <c r="A22" s="508"/>
      <c r="B22" s="554"/>
      <c r="C22" s="844"/>
      <c r="D22" s="531"/>
      <c r="E22" s="552"/>
      <c r="F22" s="533"/>
      <c r="G22" s="552"/>
      <c r="H22" s="531"/>
      <c r="I22" s="552"/>
      <c r="J22" s="531"/>
      <c r="K22" s="2395"/>
      <c r="L22" s="1976"/>
      <c r="M22" s="1968"/>
      <c r="N22" s="1968"/>
      <c r="O22" s="1975"/>
      <c r="P22" s="3684"/>
      <c r="Q22" s="2378"/>
      <c r="R22" s="1463"/>
      <c r="S22" s="1464"/>
      <c r="T22" s="1463"/>
      <c r="U22" s="1464"/>
      <c r="V22" s="1463"/>
      <c r="W22" s="1464"/>
      <c r="X22" s="2380"/>
      <c r="Y22" s="3684"/>
      <c r="Z22" s="2379"/>
      <c r="AA22" s="1466">
        <v>1</v>
      </c>
      <c r="AB22" s="1466">
        <v>1</v>
      </c>
      <c r="AC22" s="1466">
        <v>1</v>
      </c>
    </row>
    <row r="23" spans="1:29" ht="7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84"/>
      <c r="Q23" s="1462" t="str">
        <f>B23</f>
        <v>环境质量</v>
      </c>
      <c r="R23" s="1463" t="s">
        <v>8</v>
      </c>
      <c r="S23" s="1464">
        <f>F23</f>
        <v>100</v>
      </c>
      <c r="T23" s="1463" t="s">
        <v>8</v>
      </c>
      <c r="U23" s="1464">
        <f>H23</f>
        <v>100</v>
      </c>
      <c r="V23" s="1463" t="s">
        <v>8</v>
      </c>
      <c r="W23" s="1464">
        <f>J23</f>
        <v>100</v>
      </c>
      <c r="X23" s="1457"/>
      <c r="Y23" s="3684"/>
      <c r="Z23" s="1465" t="str">
        <f>Q23</f>
        <v>环境质量</v>
      </c>
      <c r="AA23" s="1466">
        <f t="shared" si="3"/>
        <v>1</v>
      </c>
      <c r="AB23" s="1466">
        <f t="shared" si="4"/>
        <v>1</v>
      </c>
      <c r="AC23" s="1466">
        <f t="shared" si="5"/>
        <v>1</v>
      </c>
    </row>
    <row r="24" spans="1:29" ht="16">
      <c r="A24" s="508"/>
      <c r="B24" s="893"/>
      <c r="C24" s="552"/>
      <c r="D24" s="531"/>
      <c r="E24" s="532"/>
      <c r="F24" s="533"/>
      <c r="G24" s="534"/>
      <c r="H24" s="531"/>
      <c r="I24" s="532"/>
      <c r="J24" s="531"/>
      <c r="K24" s="870"/>
      <c r="L24" s="1976"/>
      <c r="M24" s="1968"/>
      <c r="N24" s="1968"/>
      <c r="O24" s="1975"/>
      <c r="P24" s="3684"/>
      <c r="Q24" s="1462"/>
      <c r="R24" s="1463"/>
      <c r="S24" s="1464"/>
      <c r="T24" s="1463"/>
      <c r="U24" s="1464"/>
      <c r="V24" s="1463"/>
      <c r="W24" s="1464"/>
      <c r="X24" s="1457"/>
      <c r="Y24" s="3684"/>
      <c r="Z24" s="1465"/>
      <c r="AA24" s="1466">
        <v>1</v>
      </c>
      <c r="AB24" s="1466">
        <v>1</v>
      </c>
      <c r="AC24" s="1466">
        <v>1</v>
      </c>
    </row>
    <row r="25" spans="1:29" ht="16">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84"/>
      <c r="Q25" s="1462">
        <f>B25</f>
        <v>111</v>
      </c>
      <c r="R25" s="1463" t="s">
        <v>8</v>
      </c>
      <c r="S25" s="1464">
        <f>F25</f>
        <v>100</v>
      </c>
      <c r="T25" s="1463" t="s">
        <v>8</v>
      </c>
      <c r="U25" s="1464">
        <f>H25</f>
        <v>100</v>
      </c>
      <c r="V25" s="1463" t="s">
        <v>8</v>
      </c>
      <c r="W25" s="1464">
        <f>J25</f>
        <v>100</v>
      </c>
      <c r="X25" s="1457"/>
      <c r="Y25" s="3684"/>
      <c r="Z25" s="1465">
        <f>Q25</f>
        <v>111</v>
      </c>
      <c r="AA25" s="1466">
        <f t="shared" si="3"/>
        <v>1</v>
      </c>
      <c r="AB25" s="1466">
        <f t="shared" si="4"/>
        <v>1</v>
      </c>
      <c r="AC25" s="1466">
        <f t="shared" si="5"/>
        <v>1</v>
      </c>
    </row>
    <row r="26" spans="1:29" ht="16">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84"/>
      <c r="Q26" s="1462">
        <f t="shared" ref="Q26:Q40" si="11">B26</f>
        <v>111</v>
      </c>
      <c r="R26" s="1463" t="s">
        <v>8</v>
      </c>
      <c r="S26" s="1464">
        <f>F26</f>
        <v>100</v>
      </c>
      <c r="T26" s="1463" t="s">
        <v>8</v>
      </c>
      <c r="U26" s="1464">
        <f>H26</f>
        <v>100</v>
      </c>
      <c r="V26" s="1463" t="s">
        <v>8</v>
      </c>
      <c r="W26" s="1464">
        <f>J26</f>
        <v>100</v>
      </c>
      <c r="X26" s="1457"/>
      <c r="Y26" s="3684"/>
      <c r="Z26" s="1465">
        <f>Q26</f>
        <v>111</v>
      </c>
      <c r="AA26" s="1466">
        <f t="shared" si="3"/>
        <v>1</v>
      </c>
      <c r="AB26" s="1466">
        <f t="shared" si="4"/>
        <v>1</v>
      </c>
      <c r="AC26" s="1466">
        <f t="shared" si="5"/>
        <v>1</v>
      </c>
    </row>
    <row r="27" spans="1:29" s="1166" customFormat="1" ht="16">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84"/>
      <c r="Q27" s="1097">
        <f t="shared" si="11"/>
        <v>111</v>
      </c>
      <c r="R27" s="1458" t="s">
        <v>8</v>
      </c>
      <c r="S27" s="1459">
        <f>F27</f>
        <v>100</v>
      </c>
      <c r="T27" s="1458" t="s">
        <v>8</v>
      </c>
      <c r="U27" s="1459">
        <f>H27</f>
        <v>100</v>
      </c>
      <c r="V27" s="1458" t="s">
        <v>8</v>
      </c>
      <c r="W27" s="1459">
        <f>J27</f>
        <v>100</v>
      </c>
      <c r="X27" s="1460"/>
      <c r="Y27" s="3684"/>
      <c r="Z27" s="1096">
        <f>Q27</f>
        <v>111</v>
      </c>
      <c r="AA27" s="1466">
        <f>D27/F27</f>
        <v>1</v>
      </c>
      <c r="AB27" s="1466">
        <f>D27/H27</f>
        <v>1</v>
      </c>
      <c r="AC27" s="1466">
        <f>D27/J27</f>
        <v>1</v>
      </c>
    </row>
    <row r="28" spans="1:29" ht="17"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84"/>
      <c r="Q28" s="1462">
        <f t="shared" si="11"/>
        <v>111</v>
      </c>
      <c r="R28" s="1463" t="s">
        <v>8</v>
      </c>
      <c r="S28" s="1464">
        <f t="shared" ref="S28:S40" si="12">F28</f>
        <v>100</v>
      </c>
      <c r="T28" s="1463" t="s">
        <v>8</v>
      </c>
      <c r="U28" s="1464">
        <f t="shared" ref="U28:U40" si="13">H28</f>
        <v>100</v>
      </c>
      <c r="V28" s="1463" t="s">
        <v>8</v>
      </c>
      <c r="W28" s="1464">
        <f t="shared" ref="W28:W40" si="14">J28</f>
        <v>100</v>
      </c>
      <c r="X28" s="1457"/>
      <c r="Y28" s="3684"/>
      <c r="Z28" s="1465">
        <f t="shared" ref="Z28:Z40" si="15">Q28</f>
        <v>111</v>
      </c>
      <c r="AA28" s="1466">
        <f t="shared" si="3"/>
        <v>1</v>
      </c>
      <c r="AB28" s="1466">
        <f t="shared" si="4"/>
        <v>1</v>
      </c>
      <c r="AC28" s="1466">
        <f t="shared" si="5"/>
        <v>1</v>
      </c>
    </row>
    <row r="29" spans="1:29" ht="16">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85" t="s">
        <v>528</v>
      </c>
      <c r="Q29" s="1462" t="str">
        <f t="shared" si="11"/>
        <v>建筑类型</v>
      </c>
      <c r="R29" s="1463" t="s">
        <v>8</v>
      </c>
      <c r="S29" s="1464">
        <f t="shared" si="12"/>
        <v>100</v>
      </c>
      <c r="T29" s="1463" t="s">
        <v>8</v>
      </c>
      <c r="U29" s="1464">
        <f t="shared" si="13"/>
        <v>100</v>
      </c>
      <c r="V29" s="1463" t="s">
        <v>8</v>
      </c>
      <c r="W29" s="1464">
        <f t="shared" si="14"/>
        <v>100</v>
      </c>
      <c r="X29" s="1457"/>
      <c r="Y29" s="3686" t="s">
        <v>528</v>
      </c>
      <c r="Z29" s="1465" t="str">
        <f t="shared" si="15"/>
        <v>建筑类型</v>
      </c>
      <c r="AA29" s="1466">
        <f t="shared" si="3"/>
        <v>1</v>
      </c>
      <c r="AB29" s="1466">
        <f t="shared" si="4"/>
        <v>1</v>
      </c>
      <c r="AC29" s="1466">
        <f t="shared" si="5"/>
        <v>1</v>
      </c>
    </row>
    <row r="30" spans="1:29" s="1248" customFormat="1" ht="16">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86"/>
      <c r="Q30" s="1491" t="str">
        <f t="shared" si="11"/>
        <v>项目建筑规模</v>
      </c>
      <c r="R30" s="1467" t="s">
        <v>8</v>
      </c>
      <c r="S30" s="1468" t="e">
        <f t="shared" si="12"/>
        <v>#N/A</v>
      </c>
      <c r="T30" s="1467" t="s">
        <v>8</v>
      </c>
      <c r="U30" s="1468" t="e">
        <f t="shared" si="13"/>
        <v>#N/A</v>
      </c>
      <c r="V30" s="1467" t="s">
        <v>8</v>
      </c>
      <c r="W30" s="1468" t="e">
        <f t="shared" si="14"/>
        <v>#N/A</v>
      </c>
      <c r="X30" s="1469"/>
      <c r="Y30" s="3686"/>
      <c r="Z30" s="1470" t="str">
        <f t="shared" si="15"/>
        <v>项目建筑规模</v>
      </c>
      <c r="AA30" s="1466" t="e">
        <f t="shared" si="3"/>
        <v>#N/A</v>
      </c>
      <c r="AB30" s="1466" t="e">
        <f t="shared" si="4"/>
        <v>#N/A</v>
      </c>
      <c r="AC30" s="1466" t="e">
        <f t="shared" si="5"/>
        <v>#N/A</v>
      </c>
    </row>
    <row r="31" spans="1:29" ht="16">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86"/>
      <c r="Q31" s="1462" t="str">
        <f t="shared" si="11"/>
        <v>建筑结构</v>
      </c>
      <c r="R31" s="1463" t="s">
        <v>8</v>
      </c>
      <c r="S31" s="1464">
        <f t="shared" si="12"/>
        <v>100</v>
      </c>
      <c r="T31" s="1463" t="s">
        <v>8</v>
      </c>
      <c r="U31" s="1464">
        <f t="shared" si="13"/>
        <v>100</v>
      </c>
      <c r="V31" s="1463" t="s">
        <v>8</v>
      </c>
      <c r="W31" s="1464">
        <f t="shared" si="14"/>
        <v>100</v>
      </c>
      <c r="X31" s="1457"/>
      <c r="Y31" s="3686"/>
      <c r="Z31" s="1465" t="str">
        <f t="shared" si="15"/>
        <v>建筑结构</v>
      </c>
      <c r="AA31" s="1466">
        <f t="shared" si="3"/>
        <v>1</v>
      </c>
      <c r="AB31" s="1466">
        <f t="shared" si="4"/>
        <v>1</v>
      </c>
      <c r="AC31" s="1466">
        <f t="shared" si="5"/>
        <v>1</v>
      </c>
    </row>
    <row r="32" spans="1:29" ht="16">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86"/>
      <c r="Q32" s="1462" t="str">
        <f t="shared" si="11"/>
        <v>公共部分装修</v>
      </c>
      <c r="R32" s="1463" t="s">
        <v>8</v>
      </c>
      <c r="S32" s="1464">
        <f t="shared" si="12"/>
        <v>100</v>
      </c>
      <c r="T32" s="1463" t="s">
        <v>8</v>
      </c>
      <c r="U32" s="1464">
        <f t="shared" si="13"/>
        <v>100</v>
      </c>
      <c r="V32" s="1463" t="s">
        <v>8</v>
      </c>
      <c r="W32" s="1464">
        <f t="shared" si="14"/>
        <v>100</v>
      </c>
      <c r="X32" s="1457"/>
      <c r="Y32" s="3686"/>
      <c r="Z32" s="1465" t="str">
        <f t="shared" si="15"/>
        <v>公共部分装修</v>
      </c>
      <c r="AA32" s="1466">
        <f t="shared" si="3"/>
        <v>1</v>
      </c>
      <c r="AB32" s="1466">
        <f t="shared" si="4"/>
        <v>1</v>
      </c>
      <c r="AC32" s="1466">
        <f t="shared" si="5"/>
        <v>1</v>
      </c>
    </row>
    <row r="33" spans="1:29" ht="16">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86"/>
      <c r="Q33" s="1462" t="str">
        <f t="shared" si="11"/>
        <v>成新度</v>
      </c>
      <c r="R33" s="1463" t="s">
        <v>8</v>
      </c>
      <c r="S33" s="1464" t="e">
        <f t="shared" si="12"/>
        <v>#N/A</v>
      </c>
      <c r="T33" s="1463" t="s">
        <v>8</v>
      </c>
      <c r="U33" s="1464" t="e">
        <f t="shared" si="13"/>
        <v>#N/A</v>
      </c>
      <c r="V33" s="1463" t="s">
        <v>8</v>
      </c>
      <c r="W33" s="1464" t="e">
        <f t="shared" si="14"/>
        <v>#N/A</v>
      </c>
      <c r="X33" s="1457"/>
      <c r="Y33" s="3686"/>
      <c r="Z33" s="1465" t="str">
        <f t="shared" si="15"/>
        <v>成新度</v>
      </c>
      <c r="AA33" s="1466" t="e">
        <f t="shared" si="3"/>
        <v>#N/A</v>
      </c>
      <c r="AB33" s="1466" t="e">
        <f t="shared" si="4"/>
        <v>#N/A</v>
      </c>
      <c r="AC33" s="1466" t="e">
        <f t="shared" si="5"/>
        <v>#N/A</v>
      </c>
    </row>
    <row r="34" spans="1:29" s="1166" customFormat="1" ht="16">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86"/>
      <c r="Q34" s="1097" t="str">
        <f t="shared" si="11"/>
        <v>物业管理</v>
      </c>
      <c r="R34" s="1458" t="s">
        <v>8</v>
      </c>
      <c r="S34" s="1459">
        <f t="shared" si="12"/>
        <v>100</v>
      </c>
      <c r="T34" s="1458" t="s">
        <v>8</v>
      </c>
      <c r="U34" s="1459">
        <f t="shared" si="13"/>
        <v>100</v>
      </c>
      <c r="V34" s="1458" t="s">
        <v>8</v>
      </c>
      <c r="W34" s="1459">
        <f t="shared" si="14"/>
        <v>100</v>
      </c>
      <c r="X34" s="1460"/>
      <c r="Y34" s="3686"/>
      <c r="Z34" s="1096" t="str">
        <f t="shared" si="15"/>
        <v>物业管理</v>
      </c>
      <c r="AA34" s="1461">
        <f t="shared" si="3"/>
        <v>1</v>
      </c>
      <c r="AB34" s="1461">
        <f t="shared" si="4"/>
        <v>1</v>
      </c>
      <c r="AC34" s="1461">
        <f t="shared" si="5"/>
        <v>1</v>
      </c>
    </row>
    <row r="35" spans="1:29" ht="16">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86" t="s">
        <v>528</v>
      </c>
      <c r="Q35" s="1462" t="str">
        <f t="shared" si="11"/>
        <v>市政基础设施</v>
      </c>
      <c r="R35" s="1463" t="s">
        <v>8</v>
      </c>
      <c r="S35" s="1464">
        <f t="shared" si="12"/>
        <v>100</v>
      </c>
      <c r="T35" s="1463" t="s">
        <v>8</v>
      </c>
      <c r="U35" s="1464">
        <f t="shared" si="13"/>
        <v>100</v>
      </c>
      <c r="V35" s="1463" t="s">
        <v>8</v>
      </c>
      <c r="W35" s="1464">
        <f t="shared" si="14"/>
        <v>100</v>
      </c>
      <c r="X35" s="1457"/>
      <c r="Y35" s="3686" t="s">
        <v>528</v>
      </c>
      <c r="Z35" s="1465" t="str">
        <f t="shared" si="15"/>
        <v>市政基础设施</v>
      </c>
      <c r="AA35" s="1466">
        <f t="shared" si="3"/>
        <v>1</v>
      </c>
      <c r="AB35" s="1466">
        <f t="shared" si="4"/>
        <v>1</v>
      </c>
      <c r="AC35" s="1466">
        <f t="shared" si="5"/>
        <v>1</v>
      </c>
    </row>
    <row r="36" spans="1:29" ht="16">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86"/>
      <c r="Q36" s="1462" t="str">
        <f t="shared" si="11"/>
        <v>内部装修</v>
      </c>
      <c r="R36" s="1463" t="s">
        <v>8</v>
      </c>
      <c r="S36" s="1464">
        <f t="shared" si="12"/>
        <v>100</v>
      </c>
      <c r="T36" s="1463" t="s">
        <v>8</v>
      </c>
      <c r="U36" s="1464">
        <f t="shared" si="13"/>
        <v>100</v>
      </c>
      <c r="V36" s="1463" t="s">
        <v>8</v>
      </c>
      <c r="W36" s="1464">
        <f t="shared" si="14"/>
        <v>100</v>
      </c>
      <c r="X36" s="1457"/>
      <c r="Y36" s="3686"/>
      <c r="Z36" s="1465" t="str">
        <f t="shared" si="15"/>
        <v>内部装修</v>
      </c>
      <c r="AA36" s="1466">
        <f t="shared" si="3"/>
        <v>1</v>
      </c>
      <c r="AB36" s="1466">
        <f t="shared" si="4"/>
        <v>1</v>
      </c>
      <c r="AC36" s="1466">
        <f t="shared" si="5"/>
        <v>1</v>
      </c>
    </row>
    <row r="37" spans="1:29" ht="16">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86"/>
      <c r="Q37" s="1462" t="str">
        <f t="shared" si="11"/>
        <v>内部装修状况</v>
      </c>
      <c r="R37" s="1463" t="s">
        <v>8</v>
      </c>
      <c r="S37" s="1464">
        <f t="shared" si="12"/>
        <v>100</v>
      </c>
      <c r="T37" s="1463" t="s">
        <v>8</v>
      </c>
      <c r="U37" s="1464">
        <f t="shared" si="13"/>
        <v>100</v>
      </c>
      <c r="V37" s="1463" t="s">
        <v>8</v>
      </c>
      <c r="W37" s="1464">
        <f t="shared" si="14"/>
        <v>100</v>
      </c>
      <c r="X37" s="1457"/>
      <c r="Y37" s="3686"/>
      <c r="Z37" s="1465" t="str">
        <f t="shared" si="15"/>
        <v>内部装修状况</v>
      </c>
      <c r="AA37" s="1466">
        <f t="shared" si="3"/>
        <v>1</v>
      </c>
      <c r="AB37" s="1466">
        <f t="shared" si="4"/>
        <v>1</v>
      </c>
      <c r="AC37" s="1466">
        <f t="shared" si="5"/>
        <v>1</v>
      </c>
    </row>
    <row r="38" spans="1:29" s="1248" customFormat="1" ht="16">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86"/>
      <c r="Q38" s="1491">
        <f t="shared" si="11"/>
        <v>111</v>
      </c>
      <c r="R38" s="1467" t="s">
        <v>8</v>
      </c>
      <c r="S38" s="1468">
        <f t="shared" si="12"/>
        <v>100</v>
      </c>
      <c r="T38" s="1467" t="s">
        <v>8</v>
      </c>
      <c r="U38" s="1468">
        <f t="shared" si="13"/>
        <v>100</v>
      </c>
      <c r="V38" s="1467" t="s">
        <v>8</v>
      </c>
      <c r="W38" s="1468">
        <f t="shared" si="14"/>
        <v>100</v>
      </c>
      <c r="X38" s="1469"/>
      <c r="Y38" s="3686"/>
      <c r="Z38" s="1470">
        <f t="shared" si="15"/>
        <v>111</v>
      </c>
      <c r="AA38" s="1466">
        <f t="shared" si="3"/>
        <v>1</v>
      </c>
      <c r="AB38" s="1466">
        <f t="shared" si="4"/>
        <v>1</v>
      </c>
      <c r="AC38" s="1466">
        <f t="shared" si="5"/>
        <v>1</v>
      </c>
    </row>
    <row r="39" spans="1:29" ht="16">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86"/>
      <c r="Q39" s="1462">
        <f t="shared" si="11"/>
        <v>111</v>
      </c>
      <c r="R39" s="1463" t="s">
        <v>8</v>
      </c>
      <c r="S39" s="1464">
        <f t="shared" si="12"/>
        <v>100</v>
      </c>
      <c r="T39" s="1463" t="s">
        <v>8</v>
      </c>
      <c r="U39" s="1464">
        <f t="shared" si="13"/>
        <v>100</v>
      </c>
      <c r="V39" s="1463" t="s">
        <v>8</v>
      </c>
      <c r="W39" s="1464">
        <f t="shared" si="14"/>
        <v>100</v>
      </c>
      <c r="X39" s="1457"/>
      <c r="Y39" s="3686"/>
      <c r="Z39" s="1465">
        <f t="shared" si="15"/>
        <v>111</v>
      </c>
      <c r="AA39" s="1466">
        <f t="shared" si="3"/>
        <v>1</v>
      </c>
      <c r="AB39" s="1466">
        <f t="shared" si="4"/>
        <v>1</v>
      </c>
      <c r="AC39" s="1466">
        <f t="shared" si="5"/>
        <v>1</v>
      </c>
    </row>
    <row r="40" spans="1:29" ht="17"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14"/>
      <c r="Q40" s="1462">
        <f t="shared" si="11"/>
        <v>111</v>
      </c>
      <c r="R40" s="1463" t="s">
        <v>8</v>
      </c>
      <c r="S40" s="1464">
        <f t="shared" si="12"/>
        <v>100</v>
      </c>
      <c r="T40" s="1463" t="s">
        <v>8</v>
      </c>
      <c r="U40" s="1464">
        <f t="shared" si="13"/>
        <v>100</v>
      </c>
      <c r="V40" s="1463" t="s">
        <v>8</v>
      </c>
      <c r="W40" s="1464">
        <f t="shared" si="14"/>
        <v>100</v>
      </c>
      <c r="X40" s="1457"/>
      <c r="Y40" s="3814"/>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50" t="str">
        <f>A41</f>
        <v>成交单价（元/平方米）</v>
      </c>
      <c r="Q41" s="3650"/>
      <c r="R41" s="3813">
        <f>E41</f>
        <v>0</v>
      </c>
      <c r="S41" s="3813"/>
      <c r="T41" s="3813">
        <f>G41</f>
        <v>0</v>
      </c>
      <c r="U41" s="3813"/>
      <c r="V41" s="3813">
        <f>I41</f>
        <v>0</v>
      </c>
      <c r="W41" s="3813"/>
      <c r="X41" s="1452"/>
      <c r="Y41" s="1471"/>
      <c r="Z41" s="1452"/>
      <c r="AA41" s="1452"/>
      <c r="AB41" s="1452"/>
      <c r="AC41" s="1452"/>
    </row>
    <row r="42" spans="1:29" ht="1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50" t="str">
        <f>A42</f>
        <v>比较价格（元/平方米）</v>
      </c>
      <c r="Q42" s="3650"/>
      <c r="R42" s="3813" t="e">
        <f>IF(F1="售价",ROUND(PRODUCT(R41,AA7:AA40),0),ROUND(PRODUCT(R41,AA7:AA40),1))</f>
        <v>#DIV/0!</v>
      </c>
      <c r="S42" s="3813"/>
      <c r="T42" s="3813" t="e">
        <f>IF(F1="售价",ROUND(PRODUCT(T41,AB7:AB40),0),ROUND(PRODUCT(T41,AB7:AB40),1))</f>
        <v>#DIV/0!</v>
      </c>
      <c r="U42" s="3813"/>
      <c r="V42" s="3813" t="e">
        <f>IF(F1="售价",ROUND(PRODUCT(V41,AC7:AC40),0),ROUND(PRODUCT(V41,AC7:AC40),1))</f>
        <v>#DIV/0!</v>
      </c>
      <c r="W42" s="3813"/>
      <c r="X42" s="1452"/>
      <c r="Y42" s="1452"/>
      <c r="Z42" s="1452"/>
      <c r="AA42" s="1452"/>
      <c r="AB42" s="1452"/>
      <c r="AC42" s="1452"/>
    </row>
    <row r="43" spans="1:29" ht="15" thickBot="1">
      <c r="A43" s="595" t="s">
        <v>2691</v>
      </c>
      <c r="B43" s="596"/>
      <c r="C43" s="2427" t="e">
        <f>R43</f>
        <v>#DIV/0!</v>
      </c>
      <c r="D43" s="2427"/>
      <c r="E43" s="2427"/>
      <c r="F43" s="2427"/>
      <c r="G43" s="2427"/>
      <c r="H43" s="2427"/>
      <c r="I43" s="2427"/>
      <c r="J43" s="2427"/>
      <c r="K43" s="1497"/>
      <c r="L43" s="1978"/>
      <c r="M43" s="1979"/>
      <c r="N43" s="1979"/>
      <c r="O43" s="1979"/>
      <c r="P43" s="3687" t="str">
        <f>A43</f>
        <v>估价对象XX用房的比较价格（楼面单价，元/平方米）</v>
      </c>
      <c r="Q43" s="3688"/>
      <c r="R43" s="3812" t="e">
        <f>IF(F1="售价",ROUND(IF(D42="简单平均",AVERAGE(R42:V42),R42*F42+T42*H42+V42*J42),0),ROUND(IF(D42="简单平均",AVERAGE(R42:V42),R42*F42+T42*H42+V42*J42),1))</f>
        <v>#DIV/0!</v>
      </c>
      <c r="S43" s="3812"/>
      <c r="T43" s="3812"/>
      <c r="U43" s="3812"/>
      <c r="V43" s="3812"/>
      <c r="W43" s="3812"/>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2022-9</v>
      </c>
      <c r="D52" s="2470">
        <f>EDATE(C52,-1)</f>
        <v>44774</v>
      </c>
      <c r="E52" s="2470">
        <f t="shared" ref="E52:O52" si="16">EDATE(D52,-1)</f>
        <v>44743</v>
      </c>
      <c r="F52" s="2470">
        <f t="shared" si="16"/>
        <v>44713</v>
      </c>
      <c r="G52" s="2470">
        <f t="shared" si="16"/>
        <v>44682</v>
      </c>
      <c r="H52" s="2470">
        <f t="shared" si="16"/>
        <v>44652</v>
      </c>
      <c r="I52" s="2470">
        <f t="shared" si="16"/>
        <v>44621</v>
      </c>
      <c r="J52" s="2470">
        <f t="shared" si="16"/>
        <v>44593</v>
      </c>
      <c r="K52" s="2470">
        <f t="shared" si="16"/>
        <v>44562</v>
      </c>
      <c r="L52" s="2470">
        <f t="shared" si="16"/>
        <v>44531</v>
      </c>
      <c r="M52" s="2470">
        <f t="shared" si="16"/>
        <v>44501</v>
      </c>
      <c r="N52" s="2470">
        <f t="shared" si="16"/>
        <v>44470</v>
      </c>
      <c r="O52" s="2470">
        <f t="shared" si="16"/>
        <v>44440</v>
      </c>
      <c r="P52" s="1993"/>
      <c r="Q52" s="1994"/>
      <c r="R52" s="1994"/>
      <c r="S52" s="1994"/>
      <c r="T52" s="1994"/>
      <c r="U52" s="1994"/>
      <c r="V52" s="1994"/>
      <c r="W52" s="1994"/>
      <c r="X52" s="1994"/>
      <c r="Y52" s="1994"/>
      <c r="Z52" s="1994"/>
      <c r="AA52" s="1994"/>
      <c r="AB52" s="1994"/>
      <c r="AC52" s="1994"/>
    </row>
    <row r="53" spans="1:29" s="1166" customFormat="1">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ht="15">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31"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6"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6"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ht="15">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6"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6"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6"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6"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ht="15">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6"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6"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6"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6"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6"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6"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6"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16"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baseColWidth="10" defaultColWidth="9" defaultRowHeight="14"/>
  <cols>
    <col min="1" max="1" width="10.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56" t="s">
        <v>775</v>
      </c>
      <c r="D4" s="3657"/>
      <c r="E4" s="3656" t="s">
        <v>776</v>
      </c>
      <c r="F4" s="3657"/>
      <c r="G4" s="3656" t="s">
        <v>777</v>
      </c>
      <c r="H4" s="3657"/>
      <c r="I4" s="3656" t="s">
        <v>778</v>
      </c>
      <c r="J4" s="3657"/>
      <c r="K4" s="490" t="s">
        <v>779</v>
      </c>
      <c r="L4" s="1967"/>
      <c r="M4" s="1968"/>
      <c r="N4" s="1968"/>
      <c r="O4" s="1968"/>
      <c r="P4" s="3658" t="s">
        <v>780</v>
      </c>
      <c r="Q4" s="3659"/>
      <c r="R4" s="3664" t="s">
        <v>776</v>
      </c>
      <c r="S4" s="3665"/>
      <c r="T4" s="3664" t="s">
        <v>777</v>
      </c>
      <c r="U4" s="3665"/>
      <c r="V4" s="3651" t="s">
        <v>778</v>
      </c>
      <c r="W4" s="3651"/>
      <c r="X4" s="1457"/>
      <c r="Y4" s="3664" t="s">
        <v>780</v>
      </c>
      <c r="Z4" s="3665"/>
      <c r="AA4" s="3653" t="s">
        <v>776</v>
      </c>
      <c r="AB4" s="3654" t="s">
        <v>777</v>
      </c>
      <c r="AC4" s="3653" t="s">
        <v>778</v>
      </c>
    </row>
    <row r="5" spans="1:29">
      <c r="A5" s="491"/>
      <c r="B5" s="492"/>
      <c r="C5" s="3672" t="s">
        <v>2685</v>
      </c>
      <c r="D5" s="3673"/>
      <c r="E5" s="3672" t="s">
        <v>2686</v>
      </c>
      <c r="F5" s="3673"/>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6" thickBot="1">
      <c r="A6" s="493"/>
      <c r="B6" s="494"/>
      <c r="C6" s="3670" t="s">
        <v>2689</v>
      </c>
      <c r="D6" s="3671"/>
      <c r="E6" s="3674" t="s">
        <v>2689</v>
      </c>
      <c r="F6" s="3675"/>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6" thickBot="1">
      <c r="A7" s="2578"/>
      <c r="B7" s="2585" t="s">
        <v>507</v>
      </c>
      <c r="C7" s="495">
        <f>'数据-取费表'!B2</f>
        <v>44826</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80" t="s">
        <v>508</v>
      </c>
      <c r="Q7" s="3682"/>
      <c r="R7" s="1458" t="s">
        <v>8</v>
      </c>
      <c r="S7" s="1459">
        <f t="shared" ref="S7:S14" si="0">F7</f>
        <v>0</v>
      </c>
      <c r="T7" s="1458" t="s">
        <v>8</v>
      </c>
      <c r="U7" s="1459">
        <f t="shared" ref="U7:U14" si="1">H7</f>
        <v>0</v>
      </c>
      <c r="V7" s="1458" t="s">
        <v>8</v>
      </c>
      <c r="W7" s="1459">
        <f t="shared" ref="W7:W14"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50" t="s">
        <v>513</v>
      </c>
      <c r="Q9" s="1097" t="str">
        <f t="shared" ref="Q9:Q14" si="6">B9</f>
        <v>用途</v>
      </c>
      <c r="R9" s="1458" t="s">
        <v>8</v>
      </c>
      <c r="S9" s="1459">
        <f t="shared" si="0"/>
        <v>100</v>
      </c>
      <c r="T9" s="1458" t="s">
        <v>8</v>
      </c>
      <c r="U9" s="1459">
        <f t="shared" si="1"/>
        <v>100</v>
      </c>
      <c r="V9" s="1458" t="s">
        <v>8</v>
      </c>
      <c r="W9" s="1459">
        <f t="shared" si="2"/>
        <v>100</v>
      </c>
      <c r="X9" s="1460"/>
      <c r="Y9" s="3594" t="s">
        <v>514</v>
      </c>
      <c r="Z9" s="1096" t="str">
        <f t="shared" ref="Z9:Z14" si="7">Q9</f>
        <v>用途</v>
      </c>
      <c r="AA9" s="1461">
        <f t="shared" si="3"/>
        <v>1</v>
      </c>
      <c r="AB9" s="1461">
        <f t="shared" si="4"/>
        <v>1</v>
      </c>
      <c r="AC9" s="1461">
        <f t="shared" si="5"/>
        <v>1</v>
      </c>
    </row>
    <row r="10" spans="1:29" s="1247" customFormat="1" ht="30">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50"/>
      <c r="Q11" s="1097">
        <f t="shared" si="6"/>
        <v>111</v>
      </c>
      <c r="R11" s="1458" t="s">
        <v>8</v>
      </c>
      <c r="S11" s="1459">
        <f t="shared" si="0"/>
        <v>100</v>
      </c>
      <c r="T11" s="1458" t="s">
        <v>8</v>
      </c>
      <c r="U11" s="1459">
        <f t="shared" si="1"/>
        <v>100</v>
      </c>
      <c r="V11" s="1458" t="s">
        <v>8</v>
      </c>
      <c r="W11" s="1459">
        <f t="shared" si="2"/>
        <v>100</v>
      </c>
      <c r="X11" s="1460"/>
      <c r="Y11" s="3594"/>
      <c r="Z11" s="1096">
        <f t="shared" si="7"/>
        <v>111</v>
      </c>
      <c r="AA11" s="1461">
        <f t="shared" si="3"/>
        <v>1</v>
      </c>
      <c r="AB11" s="1461">
        <f t="shared" si="4"/>
        <v>1</v>
      </c>
      <c r="AC11" s="1461">
        <f t="shared" si="5"/>
        <v>1</v>
      </c>
    </row>
    <row r="12" spans="1:29" s="1166" customFormat="1" ht="16">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7"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90">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83" t="s">
        <v>518</v>
      </c>
      <c r="Q14" s="1462" t="str">
        <f t="shared" si="6"/>
        <v>交通便捷度</v>
      </c>
      <c r="R14" s="1463" t="s">
        <v>8</v>
      </c>
      <c r="S14" s="1464">
        <f t="shared" si="0"/>
        <v>100</v>
      </c>
      <c r="T14" s="1463" t="s">
        <v>8</v>
      </c>
      <c r="U14" s="1464">
        <f t="shared" si="1"/>
        <v>100</v>
      </c>
      <c r="V14" s="1463" t="s">
        <v>8</v>
      </c>
      <c r="W14" s="1464">
        <f t="shared" si="2"/>
        <v>100</v>
      </c>
      <c r="X14" s="1457"/>
      <c r="Y14" s="3683" t="s">
        <v>518</v>
      </c>
      <c r="Z14" s="1465" t="str">
        <f t="shared" si="7"/>
        <v>交通便捷度</v>
      </c>
      <c r="AA14" s="1466">
        <f t="shared" si="3"/>
        <v>1</v>
      </c>
      <c r="AB14" s="1466">
        <f t="shared" si="4"/>
        <v>1</v>
      </c>
      <c r="AC14" s="1466">
        <f t="shared" si="5"/>
        <v>1</v>
      </c>
    </row>
    <row r="15" spans="1:29" ht="16">
      <c r="A15" s="491"/>
      <c r="B15" s="895"/>
      <c r="C15" s="552"/>
      <c r="D15" s="531"/>
      <c r="E15" s="552"/>
      <c r="F15" s="533"/>
      <c r="G15" s="552"/>
      <c r="H15" s="535"/>
      <c r="I15" s="552"/>
      <c r="J15" s="531"/>
      <c r="K15" s="870"/>
      <c r="L15" s="1976"/>
      <c r="M15" s="1968"/>
      <c r="N15" s="1968"/>
      <c r="O15" s="1975"/>
      <c r="P15" s="3684"/>
      <c r="Q15" s="1462"/>
      <c r="R15" s="1463"/>
      <c r="S15" s="1464"/>
      <c r="T15" s="1463"/>
      <c r="U15" s="1464"/>
      <c r="V15" s="1463"/>
      <c r="W15" s="1464"/>
      <c r="X15" s="1457"/>
      <c r="Y15" s="3684"/>
      <c r="Z15" s="1465"/>
      <c r="AA15" s="1466">
        <v>1</v>
      </c>
      <c r="AB15" s="1466">
        <v>1</v>
      </c>
      <c r="AC15" s="1466">
        <v>1</v>
      </c>
    </row>
    <row r="16" spans="1:29" ht="4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84"/>
      <c r="Q16" s="1462" t="str">
        <f>B16</f>
        <v>公共配套设施</v>
      </c>
      <c r="R16" s="1463" t="s">
        <v>8</v>
      </c>
      <c r="S16" s="1464">
        <f>F16</f>
        <v>100</v>
      </c>
      <c r="T16" s="1463" t="s">
        <v>8</v>
      </c>
      <c r="U16" s="1464">
        <f>H16</f>
        <v>100</v>
      </c>
      <c r="V16" s="1463" t="s">
        <v>8</v>
      </c>
      <c r="W16" s="1464">
        <f>J16</f>
        <v>100</v>
      </c>
      <c r="X16" s="1457"/>
      <c r="Y16" s="3684"/>
      <c r="Z16" s="1465" t="str">
        <f>Q16</f>
        <v>公共配套设施</v>
      </c>
      <c r="AA16" s="1466">
        <f t="shared" si="3"/>
        <v>1</v>
      </c>
      <c r="AB16" s="1466">
        <f t="shared" si="4"/>
        <v>1</v>
      </c>
      <c r="AC16" s="1466">
        <f t="shared" si="5"/>
        <v>1</v>
      </c>
    </row>
    <row r="17" spans="1:29" ht="16">
      <c r="A17" s="491"/>
      <c r="B17" s="542"/>
      <c r="C17" s="844"/>
      <c r="D17" s="531"/>
      <c r="E17" s="552"/>
      <c r="F17" s="533"/>
      <c r="G17" s="552"/>
      <c r="H17" s="531"/>
      <c r="I17" s="552"/>
      <c r="J17" s="531"/>
      <c r="K17" s="870"/>
      <c r="L17" s="1976"/>
      <c r="M17" s="1968"/>
      <c r="N17" s="1968"/>
      <c r="O17" s="1975"/>
      <c r="P17" s="3684"/>
      <c r="Q17" s="1462"/>
      <c r="R17" s="1463"/>
      <c r="S17" s="1464"/>
      <c r="T17" s="1463"/>
      <c r="U17" s="1464"/>
      <c r="V17" s="1463"/>
      <c r="W17" s="1464"/>
      <c r="X17" s="1457"/>
      <c r="Y17" s="3684"/>
      <c r="Z17" s="1465"/>
      <c r="AA17" s="1466">
        <v>1</v>
      </c>
      <c r="AB17" s="1466">
        <v>1</v>
      </c>
      <c r="AC17" s="1466">
        <v>1</v>
      </c>
    </row>
    <row r="18" spans="1:29" ht="30">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84"/>
      <c r="Q18" s="2378" t="str">
        <f>B18</f>
        <v>基础设施水平</v>
      </c>
      <c r="R18" s="1463" t="s">
        <v>8</v>
      </c>
      <c r="S18" s="1464">
        <f>F18</f>
        <v>100</v>
      </c>
      <c r="T18" s="1463" t="s">
        <v>8</v>
      </c>
      <c r="U18" s="1464">
        <f>H18</f>
        <v>100</v>
      </c>
      <c r="V18" s="1463" t="s">
        <v>8</v>
      </c>
      <c r="W18" s="1464">
        <f>J18</f>
        <v>100</v>
      </c>
      <c r="X18" s="2380"/>
      <c r="Y18" s="3684"/>
      <c r="Z18" s="2379" t="str">
        <f>Q18</f>
        <v>基础设施水平</v>
      </c>
      <c r="AA18" s="1466">
        <f t="shared" ref="AA18" si="8">D18/F18</f>
        <v>1</v>
      </c>
      <c r="AB18" s="1466">
        <f t="shared" ref="AB18" si="9">D18/H18</f>
        <v>1</v>
      </c>
      <c r="AC18" s="1466">
        <f t="shared" ref="AC18" si="10">D18/J18</f>
        <v>1</v>
      </c>
    </row>
    <row r="19" spans="1:29" ht="16">
      <c r="A19" s="491"/>
      <c r="B19" s="554"/>
      <c r="C19" s="844"/>
      <c r="D19" s="535"/>
      <c r="E19" s="552"/>
      <c r="F19" s="533"/>
      <c r="G19" s="552"/>
      <c r="H19" s="531"/>
      <c r="I19" s="552"/>
      <c r="J19" s="531"/>
      <c r="K19" s="2395"/>
      <c r="L19" s="1976"/>
      <c r="M19" s="1968"/>
      <c r="N19" s="1968"/>
      <c r="O19" s="1975"/>
      <c r="P19" s="3684"/>
      <c r="Q19" s="2378"/>
      <c r="R19" s="1463"/>
      <c r="S19" s="1464"/>
      <c r="T19" s="1463"/>
      <c r="U19" s="1464"/>
      <c r="V19" s="1463"/>
      <c r="W19" s="1464"/>
      <c r="X19" s="2380"/>
      <c r="Y19" s="3684"/>
      <c r="Z19" s="2379"/>
      <c r="AA19" s="1466">
        <v>1</v>
      </c>
      <c r="AB19" s="1466">
        <v>1</v>
      </c>
      <c r="AC19" s="1466">
        <v>1</v>
      </c>
    </row>
    <row r="20" spans="1:29" ht="60">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84"/>
      <c r="Q20" s="1462" t="str">
        <f>B20</f>
        <v>自然及人文环境</v>
      </c>
      <c r="R20" s="1463" t="s">
        <v>8</v>
      </c>
      <c r="S20" s="1464">
        <f>F20</f>
        <v>100</v>
      </c>
      <c r="T20" s="1463" t="s">
        <v>8</v>
      </c>
      <c r="U20" s="1464">
        <f>H20</f>
        <v>100</v>
      </c>
      <c r="V20" s="1463" t="s">
        <v>8</v>
      </c>
      <c r="W20" s="1464">
        <f>J20</f>
        <v>100</v>
      </c>
      <c r="X20" s="1457"/>
      <c r="Y20" s="3684"/>
      <c r="Z20" s="1465" t="str">
        <f>Q20</f>
        <v>自然及人文环境</v>
      </c>
      <c r="AA20" s="1466">
        <f t="shared" si="3"/>
        <v>1</v>
      </c>
      <c r="AB20" s="1466">
        <f t="shared" si="4"/>
        <v>1</v>
      </c>
      <c r="AC20" s="1466">
        <f t="shared" si="5"/>
        <v>1</v>
      </c>
    </row>
    <row r="21" spans="1:29" ht="16">
      <c r="A21" s="491"/>
      <c r="B21" s="542"/>
      <c r="C21" s="552"/>
      <c r="D21" s="531"/>
      <c r="E21" s="552"/>
      <c r="F21" s="533"/>
      <c r="G21" s="552"/>
      <c r="H21" s="531"/>
      <c r="I21" s="552"/>
      <c r="J21" s="531"/>
      <c r="K21" s="870"/>
      <c r="L21" s="1976"/>
      <c r="M21" s="1968"/>
      <c r="N21" s="1968"/>
      <c r="O21" s="1975"/>
      <c r="P21" s="3684"/>
      <c r="Q21" s="1462"/>
      <c r="R21" s="1463"/>
      <c r="S21" s="1464"/>
      <c r="T21" s="1463"/>
      <c r="U21" s="1464"/>
      <c r="V21" s="1463"/>
      <c r="W21" s="1464"/>
      <c r="X21" s="1457"/>
      <c r="Y21" s="3684"/>
      <c r="Z21" s="1465"/>
      <c r="AA21" s="1466">
        <v>1</v>
      </c>
      <c r="AB21" s="1466">
        <v>1</v>
      </c>
      <c r="AC21" s="1466">
        <v>1</v>
      </c>
    </row>
    <row r="22" spans="1:29" ht="16">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84"/>
      <c r="Q22" s="1462" t="str">
        <f>B22</f>
        <v>楼层</v>
      </c>
      <c r="R22" s="1463" t="s">
        <v>8</v>
      </c>
      <c r="S22" s="1464">
        <f>F22</f>
        <v>100</v>
      </c>
      <c r="T22" s="1463" t="s">
        <v>8</v>
      </c>
      <c r="U22" s="1464">
        <f>H22</f>
        <v>100</v>
      </c>
      <c r="V22" s="1463" t="s">
        <v>8</v>
      </c>
      <c r="W22" s="1464">
        <f>J22</f>
        <v>100</v>
      </c>
      <c r="X22" s="1457"/>
      <c r="Y22" s="3684"/>
      <c r="Z22" s="1465" t="str">
        <f>Q22</f>
        <v>楼层</v>
      </c>
      <c r="AA22" s="1466">
        <f t="shared" si="3"/>
        <v>1</v>
      </c>
      <c r="AB22" s="1466">
        <f t="shared" si="4"/>
        <v>1</v>
      </c>
      <c r="AC22" s="1466">
        <f t="shared" si="5"/>
        <v>1</v>
      </c>
    </row>
    <row r="23" spans="1:29" ht="16">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84"/>
      <c r="Q23" s="1462">
        <f>B23</f>
        <v>111</v>
      </c>
      <c r="R23" s="1463" t="s">
        <v>8</v>
      </c>
      <c r="S23" s="1464">
        <f>F23</f>
        <v>100</v>
      </c>
      <c r="T23" s="1463" t="s">
        <v>8</v>
      </c>
      <c r="U23" s="1464">
        <f>H23</f>
        <v>100</v>
      </c>
      <c r="V23" s="1463" t="s">
        <v>8</v>
      </c>
      <c r="W23" s="1464">
        <f>J23</f>
        <v>100</v>
      </c>
      <c r="X23" s="1457"/>
      <c r="Y23" s="3684"/>
      <c r="Z23" s="1465">
        <f>Q23</f>
        <v>111</v>
      </c>
      <c r="AA23" s="1466">
        <f t="shared" si="3"/>
        <v>1</v>
      </c>
      <c r="AB23" s="1466">
        <f t="shared" si="4"/>
        <v>1</v>
      </c>
      <c r="AC23" s="1466">
        <f t="shared" si="5"/>
        <v>1</v>
      </c>
    </row>
    <row r="24" spans="1:29" ht="16">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84"/>
      <c r="Q24" s="1462">
        <f t="shared" ref="Q24:Q36" si="11">B24</f>
        <v>111</v>
      </c>
      <c r="R24" s="1463" t="s">
        <v>8</v>
      </c>
      <c r="S24" s="1464">
        <f>F24</f>
        <v>100</v>
      </c>
      <c r="T24" s="1463" t="s">
        <v>8</v>
      </c>
      <c r="U24" s="1464">
        <f>H24</f>
        <v>100</v>
      </c>
      <c r="V24" s="1463" t="s">
        <v>8</v>
      </c>
      <c r="W24" s="1464">
        <f>J24</f>
        <v>100</v>
      </c>
      <c r="X24" s="1457"/>
      <c r="Y24" s="3684"/>
      <c r="Z24" s="1465">
        <f>Q24</f>
        <v>111</v>
      </c>
      <c r="AA24" s="1466">
        <f t="shared" si="3"/>
        <v>1</v>
      </c>
      <c r="AB24" s="1466">
        <f t="shared" si="4"/>
        <v>1</v>
      </c>
      <c r="AC24" s="1466">
        <f t="shared" si="5"/>
        <v>1</v>
      </c>
    </row>
    <row r="25" spans="1:29" s="1166" customFormat="1" ht="17"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84"/>
      <c r="Q25" s="1097">
        <f t="shared" si="11"/>
        <v>111</v>
      </c>
      <c r="R25" s="1458" t="s">
        <v>8</v>
      </c>
      <c r="S25" s="1459">
        <f>F25</f>
        <v>100</v>
      </c>
      <c r="T25" s="1458" t="s">
        <v>8</v>
      </c>
      <c r="U25" s="1459">
        <f>H25</f>
        <v>100</v>
      </c>
      <c r="V25" s="1458" t="s">
        <v>8</v>
      </c>
      <c r="W25" s="1459">
        <f>J25</f>
        <v>100</v>
      </c>
      <c r="X25" s="1460"/>
      <c r="Y25" s="3684"/>
      <c r="Z25" s="1096">
        <f>Q25</f>
        <v>111</v>
      </c>
      <c r="AA25" s="1466">
        <f>D25/F25</f>
        <v>1</v>
      </c>
      <c r="AB25" s="1466">
        <f>D25/H25</f>
        <v>1</v>
      </c>
      <c r="AC25" s="1466">
        <f>D25/J25</f>
        <v>1</v>
      </c>
    </row>
    <row r="26" spans="1:29" ht="16">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85"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86" t="s">
        <v>528</v>
      </c>
      <c r="Z26" s="1465" t="str">
        <f t="shared" ref="Z26:Z36" si="15">Q26</f>
        <v>配套类型</v>
      </c>
      <c r="AA26" s="1466">
        <f t="shared" si="3"/>
        <v>1</v>
      </c>
      <c r="AB26" s="1466">
        <f t="shared" si="4"/>
        <v>1</v>
      </c>
      <c r="AC26" s="1466">
        <f t="shared" si="5"/>
        <v>1</v>
      </c>
    </row>
    <row r="27" spans="1:29" s="1248" customFormat="1" ht="16">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86"/>
      <c r="Q27" s="1491" t="str">
        <f t="shared" si="11"/>
        <v>项目停车位配比</v>
      </c>
      <c r="R27" s="1467" t="s">
        <v>8</v>
      </c>
      <c r="S27" s="1468">
        <f t="shared" si="12"/>
        <v>100</v>
      </c>
      <c r="T27" s="1467" t="s">
        <v>8</v>
      </c>
      <c r="U27" s="1468">
        <f t="shared" si="13"/>
        <v>100</v>
      </c>
      <c r="V27" s="1467" t="s">
        <v>8</v>
      </c>
      <c r="W27" s="1468">
        <f t="shared" si="14"/>
        <v>100</v>
      </c>
      <c r="X27" s="1469"/>
      <c r="Y27" s="3686"/>
      <c r="Z27" s="1470" t="str">
        <f t="shared" si="15"/>
        <v>项目停车位配比</v>
      </c>
      <c r="AA27" s="1466">
        <f t="shared" si="3"/>
        <v>1</v>
      </c>
      <c r="AB27" s="1466">
        <f t="shared" si="4"/>
        <v>1</v>
      </c>
      <c r="AC27" s="1466">
        <f t="shared" si="5"/>
        <v>1</v>
      </c>
    </row>
    <row r="28" spans="1:29" ht="16">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86"/>
      <c r="Q28" s="1462" t="str">
        <f t="shared" si="11"/>
        <v>公共部分装修</v>
      </c>
      <c r="R28" s="1463" t="s">
        <v>8</v>
      </c>
      <c r="S28" s="1464">
        <f t="shared" si="12"/>
        <v>100</v>
      </c>
      <c r="T28" s="1463" t="s">
        <v>8</v>
      </c>
      <c r="U28" s="1464">
        <f t="shared" si="13"/>
        <v>100</v>
      </c>
      <c r="V28" s="1463" t="s">
        <v>8</v>
      </c>
      <c r="W28" s="1464">
        <f t="shared" si="14"/>
        <v>100</v>
      </c>
      <c r="X28" s="1457"/>
      <c r="Y28" s="3686"/>
      <c r="Z28" s="1465" t="str">
        <f t="shared" si="15"/>
        <v>公共部分装修</v>
      </c>
      <c r="AA28" s="1466">
        <f t="shared" si="3"/>
        <v>1</v>
      </c>
      <c r="AB28" s="1466">
        <f t="shared" si="4"/>
        <v>1</v>
      </c>
      <c r="AC28" s="1466">
        <f t="shared" si="5"/>
        <v>1</v>
      </c>
    </row>
    <row r="29" spans="1:29" ht="16">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86"/>
      <c r="Q29" s="1462" t="str">
        <f t="shared" si="11"/>
        <v>成新率</v>
      </c>
      <c r="R29" s="1463" t="s">
        <v>8</v>
      </c>
      <c r="S29" s="1464" t="e">
        <f t="shared" si="12"/>
        <v>#N/A</v>
      </c>
      <c r="T29" s="1463" t="s">
        <v>8</v>
      </c>
      <c r="U29" s="1464" t="e">
        <f t="shared" si="13"/>
        <v>#N/A</v>
      </c>
      <c r="V29" s="1463" t="s">
        <v>8</v>
      </c>
      <c r="W29" s="1464" t="e">
        <f t="shared" si="14"/>
        <v>#N/A</v>
      </c>
      <c r="X29" s="1457"/>
      <c r="Y29" s="3686"/>
      <c r="Z29" s="1465" t="str">
        <f t="shared" si="15"/>
        <v>成新率</v>
      </c>
      <c r="AA29" s="1466" t="e">
        <f t="shared" si="3"/>
        <v>#N/A</v>
      </c>
      <c r="AB29" s="1466" t="e">
        <f t="shared" si="4"/>
        <v>#N/A</v>
      </c>
      <c r="AC29" s="1466" t="e">
        <f t="shared" si="5"/>
        <v>#N/A</v>
      </c>
    </row>
    <row r="30" spans="1:29" ht="16">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86"/>
      <c r="Q30" s="1462" t="str">
        <f t="shared" si="11"/>
        <v>物业等级</v>
      </c>
      <c r="R30" s="1463" t="s">
        <v>8</v>
      </c>
      <c r="S30" s="1464">
        <f t="shared" si="12"/>
        <v>100</v>
      </c>
      <c r="T30" s="1463" t="s">
        <v>8</v>
      </c>
      <c r="U30" s="1464">
        <f t="shared" si="13"/>
        <v>100</v>
      </c>
      <c r="V30" s="1463" t="s">
        <v>8</v>
      </c>
      <c r="W30" s="1464">
        <f t="shared" si="14"/>
        <v>100</v>
      </c>
      <c r="X30" s="1457"/>
      <c r="Y30" s="3686"/>
      <c r="Z30" s="1465" t="str">
        <f t="shared" si="15"/>
        <v>物业等级</v>
      </c>
      <c r="AA30" s="1466">
        <f t="shared" si="3"/>
        <v>1</v>
      </c>
      <c r="AB30" s="1466">
        <f t="shared" si="4"/>
        <v>1</v>
      </c>
      <c r="AC30" s="1466">
        <f t="shared" si="5"/>
        <v>1</v>
      </c>
    </row>
    <row r="31" spans="1:29" s="1166" customFormat="1" ht="16">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86"/>
      <c r="Q31" s="1097" t="str">
        <f t="shared" si="11"/>
        <v>停车位面积</v>
      </c>
      <c r="R31" s="1458" t="s">
        <v>8</v>
      </c>
      <c r="S31" s="1459" t="e">
        <f t="shared" si="12"/>
        <v>#N/A</v>
      </c>
      <c r="T31" s="1458" t="s">
        <v>8</v>
      </c>
      <c r="U31" s="1459" t="e">
        <f t="shared" si="13"/>
        <v>#N/A</v>
      </c>
      <c r="V31" s="1458" t="s">
        <v>8</v>
      </c>
      <c r="W31" s="1459" t="e">
        <f t="shared" si="14"/>
        <v>#N/A</v>
      </c>
      <c r="X31" s="1460"/>
      <c r="Y31" s="3686"/>
      <c r="Z31" s="1096" t="str">
        <f t="shared" si="15"/>
        <v>停车位面积</v>
      </c>
      <c r="AA31" s="1461" t="e">
        <f t="shared" si="3"/>
        <v>#N/A</v>
      </c>
      <c r="AB31" s="1461" t="e">
        <f t="shared" si="4"/>
        <v>#N/A</v>
      </c>
      <c r="AC31" s="1461" t="e">
        <f t="shared" si="5"/>
        <v>#N/A</v>
      </c>
    </row>
    <row r="32" spans="1:29" ht="16">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86" t="s">
        <v>528</v>
      </c>
      <c r="Q32" s="1462" t="str">
        <f t="shared" si="11"/>
        <v>车位类型</v>
      </c>
      <c r="R32" s="1463" t="s">
        <v>8</v>
      </c>
      <c r="S32" s="1464">
        <f t="shared" si="12"/>
        <v>100</v>
      </c>
      <c r="T32" s="1463" t="s">
        <v>8</v>
      </c>
      <c r="U32" s="1464">
        <f t="shared" si="13"/>
        <v>100</v>
      </c>
      <c r="V32" s="1463" t="s">
        <v>8</v>
      </c>
      <c r="W32" s="1464">
        <f t="shared" si="14"/>
        <v>100</v>
      </c>
      <c r="X32" s="1457"/>
      <c r="Y32" s="3686" t="s">
        <v>528</v>
      </c>
      <c r="Z32" s="1465" t="str">
        <f t="shared" si="15"/>
        <v>车位类型</v>
      </c>
      <c r="AA32" s="1466">
        <f t="shared" si="3"/>
        <v>1</v>
      </c>
      <c r="AB32" s="1466">
        <f t="shared" si="4"/>
        <v>1</v>
      </c>
      <c r="AC32" s="1466">
        <f t="shared" si="5"/>
        <v>1</v>
      </c>
    </row>
    <row r="33" spans="1:29" ht="16">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86"/>
      <c r="Q33" s="1462" t="str">
        <f t="shared" si="11"/>
        <v>是否直接入户</v>
      </c>
      <c r="R33" s="1463" t="s">
        <v>8</v>
      </c>
      <c r="S33" s="1464">
        <f t="shared" si="12"/>
        <v>100</v>
      </c>
      <c r="T33" s="1463" t="s">
        <v>8</v>
      </c>
      <c r="U33" s="1464">
        <f t="shared" si="13"/>
        <v>100</v>
      </c>
      <c r="V33" s="1463" t="s">
        <v>8</v>
      </c>
      <c r="W33" s="1464">
        <f t="shared" si="14"/>
        <v>100</v>
      </c>
      <c r="X33" s="1457"/>
      <c r="Y33" s="3686"/>
      <c r="Z33" s="1465" t="str">
        <f t="shared" si="15"/>
        <v>是否直接入户</v>
      </c>
      <c r="AA33" s="1466">
        <f t="shared" si="3"/>
        <v>1</v>
      </c>
      <c r="AB33" s="1466">
        <f t="shared" si="4"/>
        <v>1</v>
      </c>
      <c r="AC33" s="1466">
        <f t="shared" si="5"/>
        <v>1</v>
      </c>
    </row>
    <row r="34" spans="1:29" ht="16">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86"/>
      <c r="Q34" s="1462">
        <f t="shared" si="11"/>
        <v>111</v>
      </c>
      <c r="R34" s="1463" t="s">
        <v>8</v>
      </c>
      <c r="S34" s="1464">
        <f t="shared" si="12"/>
        <v>100</v>
      </c>
      <c r="T34" s="1463" t="s">
        <v>8</v>
      </c>
      <c r="U34" s="1464">
        <f t="shared" si="13"/>
        <v>100</v>
      </c>
      <c r="V34" s="1463" t="s">
        <v>8</v>
      </c>
      <c r="W34" s="1464">
        <f t="shared" si="14"/>
        <v>100</v>
      </c>
      <c r="X34" s="1457"/>
      <c r="Y34" s="3686"/>
      <c r="Z34" s="1465">
        <f t="shared" si="15"/>
        <v>111</v>
      </c>
      <c r="AA34" s="1466">
        <f t="shared" si="3"/>
        <v>1</v>
      </c>
      <c r="AB34" s="1466">
        <f t="shared" si="4"/>
        <v>1</v>
      </c>
      <c r="AC34" s="1466">
        <f t="shared" si="5"/>
        <v>1</v>
      </c>
    </row>
    <row r="35" spans="1:29" s="1248" customFormat="1" ht="16">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86"/>
      <c r="Q35" s="1491">
        <f t="shared" si="11"/>
        <v>111</v>
      </c>
      <c r="R35" s="1467" t="s">
        <v>8</v>
      </c>
      <c r="S35" s="1468">
        <f t="shared" si="12"/>
        <v>100</v>
      </c>
      <c r="T35" s="1467" t="s">
        <v>8</v>
      </c>
      <c r="U35" s="1468">
        <f t="shared" si="13"/>
        <v>100</v>
      </c>
      <c r="V35" s="1467" t="s">
        <v>8</v>
      </c>
      <c r="W35" s="1468">
        <f t="shared" si="14"/>
        <v>100</v>
      </c>
      <c r="X35" s="1469"/>
      <c r="Y35" s="3686"/>
      <c r="Z35" s="1470">
        <f t="shared" si="15"/>
        <v>111</v>
      </c>
      <c r="AA35" s="1466">
        <f t="shared" si="3"/>
        <v>1</v>
      </c>
      <c r="AB35" s="1466">
        <f t="shared" si="4"/>
        <v>1</v>
      </c>
      <c r="AC35" s="1466">
        <f t="shared" si="5"/>
        <v>1</v>
      </c>
    </row>
    <row r="36" spans="1:29" ht="17"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86"/>
      <c r="Q36" s="1462">
        <f t="shared" si="11"/>
        <v>111</v>
      </c>
      <c r="R36" s="1463" t="s">
        <v>8</v>
      </c>
      <c r="S36" s="1464">
        <f t="shared" si="12"/>
        <v>100</v>
      </c>
      <c r="T36" s="1463" t="s">
        <v>8</v>
      </c>
      <c r="U36" s="1464">
        <f t="shared" si="13"/>
        <v>100</v>
      </c>
      <c r="V36" s="1463" t="s">
        <v>8</v>
      </c>
      <c r="W36" s="1464">
        <f t="shared" si="14"/>
        <v>100</v>
      </c>
      <c r="X36" s="1457"/>
      <c r="Y36" s="3686"/>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50" t="str">
        <f>A37</f>
        <v>成交单价</v>
      </c>
      <c r="Q37" s="3650"/>
      <c r="R37" s="3813">
        <f>E37</f>
        <v>0</v>
      </c>
      <c r="S37" s="3813"/>
      <c r="T37" s="3813">
        <f>G37</f>
        <v>0</v>
      </c>
      <c r="U37" s="3813"/>
      <c r="V37" s="3813">
        <f>I37</f>
        <v>0</v>
      </c>
      <c r="W37" s="3813"/>
      <c r="X37" s="1452"/>
      <c r="Y37" s="1471"/>
      <c r="Z37" s="1452"/>
      <c r="AA37" s="1452"/>
      <c r="AB37" s="1452"/>
      <c r="AC37" s="1452"/>
    </row>
    <row r="38" spans="1:29" ht="1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50" t="str">
        <f>A38</f>
        <v>比较价格（元/平方米）</v>
      </c>
      <c r="Q38" s="3650"/>
      <c r="R38" s="3813" t="e">
        <f>IF(F1="售价",ROUND(PRODUCT(R37,AA7:AA36),0),ROUND(PRODUCT(R37,AA7:AA36),1))</f>
        <v>#DIV/0!</v>
      </c>
      <c r="S38" s="3813"/>
      <c r="T38" s="3813" t="e">
        <f>IF(F1="售价",ROUND(PRODUCT(T37,AB7:AB36),0),ROUND(PRODUCT(T37,AB7:AB36),1))</f>
        <v>#DIV/0!</v>
      </c>
      <c r="U38" s="3813"/>
      <c r="V38" s="3813" t="e">
        <f>IF(F1="售价",ROUND(PRODUCT(V37,AC7:AC36),0),ROUND(PRODUCT(V37,AC7:AC36),1))</f>
        <v>#DIV/0!</v>
      </c>
      <c r="W38" s="3813"/>
      <c r="X38" s="1452"/>
      <c r="Y38" s="1452"/>
      <c r="Z38" s="1452"/>
      <c r="AA38" s="1452"/>
      <c r="AB38" s="1452"/>
      <c r="AC38" s="1452"/>
    </row>
    <row r="39" spans="1:29" ht="15" thickBot="1">
      <c r="A39" s="595" t="s">
        <v>2691</v>
      </c>
      <c r="B39" s="596"/>
      <c r="C39" s="2427" t="e">
        <f>R39</f>
        <v>#DIV/0!</v>
      </c>
      <c r="D39" s="2427"/>
      <c r="E39" s="2427"/>
      <c r="F39" s="2427"/>
      <c r="G39" s="2427"/>
      <c r="H39" s="2427"/>
      <c r="I39" s="2427"/>
      <c r="J39" s="2427"/>
      <c r="K39" s="1497"/>
      <c r="L39" s="1978"/>
      <c r="M39" s="1979"/>
      <c r="N39" s="1979"/>
      <c r="O39" s="1979"/>
      <c r="P39" s="3687" t="str">
        <f>A39</f>
        <v>估价对象XX用房的比较价格（楼面单价，元/平方米）</v>
      </c>
      <c r="Q39" s="3688"/>
      <c r="R39" s="3812" t="e">
        <f>IF(F1="售价",ROUND(IF(D38="简单平均",AVERAGE(R38:W38),R38*F38+T38*H38+V38*J38),0),ROUND(IF(D38="简单平均",AVERAGE(R38:V38),R38*F38+T38*H38+V38*J38),1))</f>
        <v>#DIV/0!</v>
      </c>
      <c r="S39" s="3812"/>
      <c r="T39" s="3812"/>
      <c r="U39" s="3812"/>
      <c r="V39" s="3812"/>
      <c r="W39" s="3812"/>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2022-9</v>
      </c>
      <c r="D48" s="2470">
        <f>EDATE(C48,-1)</f>
        <v>44774</v>
      </c>
      <c r="E48" s="2470">
        <f t="shared" ref="E48:O48" si="16">EDATE(D48,-1)</f>
        <v>44743</v>
      </c>
      <c r="F48" s="2470">
        <f t="shared" si="16"/>
        <v>44713</v>
      </c>
      <c r="G48" s="2470">
        <f t="shared" si="16"/>
        <v>44682</v>
      </c>
      <c r="H48" s="2470">
        <f t="shared" si="16"/>
        <v>44652</v>
      </c>
      <c r="I48" s="2470">
        <f t="shared" si="16"/>
        <v>44621</v>
      </c>
      <c r="J48" s="2470">
        <f t="shared" si="16"/>
        <v>44593</v>
      </c>
      <c r="K48" s="2470">
        <f t="shared" si="16"/>
        <v>44562</v>
      </c>
      <c r="L48" s="2470">
        <f t="shared" si="16"/>
        <v>44531</v>
      </c>
      <c r="M48" s="2470">
        <f t="shared" si="16"/>
        <v>44501</v>
      </c>
      <c r="N48" s="2470">
        <f t="shared" si="16"/>
        <v>44470</v>
      </c>
      <c r="O48" s="2470">
        <f t="shared" si="16"/>
        <v>44440</v>
      </c>
      <c r="P48" s="1993"/>
      <c r="Q48" s="1994"/>
      <c r="R48" s="1994"/>
      <c r="S48" s="1994"/>
      <c r="T48" s="1994"/>
      <c r="U48" s="1994"/>
      <c r="V48" s="1994"/>
      <c r="W48" s="1994"/>
      <c r="X48" s="1994"/>
      <c r="Y48" s="1994"/>
      <c r="Z48" s="1994"/>
      <c r="AA48" s="1994"/>
      <c r="AB48" s="1994"/>
      <c r="AC48" s="1994"/>
    </row>
    <row r="49" spans="1:29" s="1166" customFormat="1">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ht="15">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31"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6"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6"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6"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6"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6"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6"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31"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6"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6"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6"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6"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6"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6"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6"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baseColWidth="10" defaultColWidth="9" defaultRowHeight="14"/>
  <cols>
    <col min="1" max="1" width="10.5" style="1246" customWidth="1"/>
    <col min="2" max="2" width="15.6640625" style="1246" customWidth="1"/>
    <col min="3" max="3" width="14.33203125" style="1246" customWidth="1"/>
    <col min="4" max="4" width="12.1640625" style="1246" customWidth="1"/>
    <col min="5" max="5" width="14.33203125" style="1246" customWidth="1"/>
    <col min="6" max="6" width="12.1640625" style="1246" customWidth="1"/>
    <col min="7" max="7" width="14.5" style="1246" customWidth="1"/>
    <col min="8" max="8" width="12.1640625" style="1246" customWidth="1"/>
    <col min="9" max="9" width="14.5" style="1246" customWidth="1"/>
    <col min="10" max="10" width="12.1640625" style="1246" customWidth="1"/>
    <col min="11" max="11" width="12.1640625" style="1251" customWidth="1"/>
    <col min="12" max="12" width="12.1640625" style="1252" customWidth="1"/>
    <col min="13" max="15" width="12.1640625" style="1246" customWidth="1"/>
    <col min="16" max="16" width="4.6640625" style="1246" customWidth="1"/>
    <col min="17" max="17" width="19.5" style="1246" customWidth="1"/>
    <col min="18" max="22" width="6.1640625" style="1246" customWidth="1"/>
    <col min="23" max="23" width="5.6640625" style="1246" customWidth="1"/>
    <col min="24" max="24" width="4.1640625" style="1246" customWidth="1"/>
    <col min="25" max="25" width="3.5" style="1246" customWidth="1"/>
    <col min="26" max="26" width="19.6640625" style="1246" customWidth="1"/>
    <col min="27" max="28" width="9.33203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56" t="s">
        <v>775</v>
      </c>
      <c r="D4" s="3657"/>
      <c r="E4" s="3691" t="s">
        <v>776</v>
      </c>
      <c r="F4" s="3692"/>
      <c r="G4" s="3656" t="s">
        <v>777</v>
      </c>
      <c r="H4" s="3657"/>
      <c r="I4" s="3656" t="s">
        <v>778</v>
      </c>
      <c r="J4" s="3657"/>
      <c r="K4" s="490" t="s">
        <v>779</v>
      </c>
      <c r="L4" s="1967"/>
      <c r="M4" s="1968"/>
      <c r="N4" s="1968"/>
      <c r="O4" s="1968"/>
      <c r="P4" s="3658" t="s">
        <v>780</v>
      </c>
      <c r="Q4" s="3659"/>
      <c r="R4" s="3664" t="s">
        <v>776</v>
      </c>
      <c r="S4" s="3665"/>
      <c r="T4" s="3664" t="s">
        <v>777</v>
      </c>
      <c r="U4" s="3665"/>
      <c r="V4" s="3651" t="s">
        <v>778</v>
      </c>
      <c r="W4" s="3651"/>
      <c r="X4" s="1457"/>
      <c r="Y4" s="3664" t="s">
        <v>780</v>
      </c>
      <c r="Z4" s="3665"/>
      <c r="AA4" s="3653" t="s">
        <v>776</v>
      </c>
      <c r="AB4" s="3654" t="s">
        <v>777</v>
      </c>
      <c r="AC4" s="3653" t="s">
        <v>778</v>
      </c>
    </row>
    <row r="5" spans="1:29">
      <c r="A5" s="491"/>
      <c r="B5" s="492"/>
      <c r="C5" s="3672" t="s">
        <v>2685</v>
      </c>
      <c r="D5" s="3673"/>
      <c r="E5" s="3693" t="s">
        <v>2686</v>
      </c>
      <c r="F5" s="3694"/>
      <c r="G5" s="3672" t="s">
        <v>2687</v>
      </c>
      <c r="H5" s="3673"/>
      <c r="I5" s="3672" t="s">
        <v>2688</v>
      </c>
      <c r="J5" s="3673"/>
      <c r="K5" s="490"/>
      <c r="L5" s="1967"/>
      <c r="M5" s="1968"/>
      <c r="N5" s="1968"/>
      <c r="O5" s="1968"/>
      <c r="P5" s="3660"/>
      <c r="Q5" s="3661"/>
      <c r="R5" s="3666"/>
      <c r="S5" s="3667"/>
      <c r="T5" s="3666"/>
      <c r="U5" s="3667"/>
      <c r="V5" s="3651"/>
      <c r="W5" s="3651"/>
      <c r="X5" s="1457"/>
      <c r="Y5" s="3666"/>
      <c r="Z5" s="3667"/>
      <c r="AA5" s="3654"/>
      <c r="AB5" s="3654"/>
      <c r="AC5" s="3654"/>
    </row>
    <row r="6" spans="1:29" ht="16" thickBot="1">
      <c r="A6" s="493"/>
      <c r="B6" s="494"/>
      <c r="C6" s="3670" t="s">
        <v>2689</v>
      </c>
      <c r="D6" s="3671"/>
      <c r="E6" s="3689" t="s">
        <v>2689</v>
      </c>
      <c r="F6" s="3690"/>
      <c r="G6" s="3670" t="s">
        <v>2689</v>
      </c>
      <c r="H6" s="3671"/>
      <c r="I6" s="3670" t="s">
        <v>2689</v>
      </c>
      <c r="J6" s="3671"/>
      <c r="K6" s="490" t="s">
        <v>506</v>
      </c>
      <c r="L6" s="1967"/>
      <c r="M6" s="1968"/>
      <c r="N6" s="1968"/>
      <c r="O6" s="1968"/>
      <c r="P6" s="3662"/>
      <c r="Q6" s="3663"/>
      <c r="R6" s="3666"/>
      <c r="S6" s="3667"/>
      <c r="T6" s="3668"/>
      <c r="U6" s="3669"/>
      <c r="V6" s="3651"/>
      <c r="W6" s="3651"/>
      <c r="X6" s="1457"/>
      <c r="Y6" s="3668"/>
      <c r="Z6" s="3669"/>
      <c r="AA6" s="3655"/>
      <c r="AB6" s="3655"/>
      <c r="AC6" s="3655"/>
    </row>
    <row r="7" spans="1:29" s="1166" customFormat="1" ht="16" thickBot="1">
      <c r="A7" s="2578"/>
      <c r="B7" s="2585" t="s">
        <v>507</v>
      </c>
      <c r="C7" s="495">
        <f>'数据-取费表'!B2</f>
        <v>44826</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80" t="s">
        <v>508</v>
      </c>
      <c r="Q7" s="3682"/>
      <c r="R7" s="1458" t="s">
        <v>8</v>
      </c>
      <c r="S7" s="1459">
        <f t="shared" ref="S7:S14" si="0">F7</f>
        <v>0</v>
      </c>
      <c r="T7" s="1458" t="s">
        <v>8</v>
      </c>
      <c r="U7" s="1459">
        <f t="shared" ref="U7:U14" si="1">H7</f>
        <v>0</v>
      </c>
      <c r="V7" s="1458" t="s">
        <v>8</v>
      </c>
      <c r="W7" s="1459">
        <f t="shared" ref="W7:W14" si="2">J7</f>
        <v>0</v>
      </c>
      <c r="X7" s="1460"/>
      <c r="Y7" s="3680" t="s">
        <v>508</v>
      </c>
      <c r="Z7" s="3681"/>
      <c r="AA7" s="1461" t="e">
        <f>D7/F7</f>
        <v>#DIV/0!</v>
      </c>
      <c r="AB7" s="1461" t="e">
        <f>D7/H7</f>
        <v>#DIV/0!</v>
      </c>
      <c r="AC7" s="1461" t="e">
        <f>D7/J7</f>
        <v>#DIV/0!</v>
      </c>
    </row>
    <row r="8" spans="1:29" s="1166" customFormat="1" ht="16"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80" t="s">
        <v>511</v>
      </c>
      <c r="Q8" s="3681"/>
      <c r="R8" s="1458" t="s">
        <v>8</v>
      </c>
      <c r="S8" s="1459">
        <f t="shared" si="0"/>
        <v>0</v>
      </c>
      <c r="T8" s="1458" t="s">
        <v>8</v>
      </c>
      <c r="U8" s="1459">
        <f t="shared" si="1"/>
        <v>0</v>
      </c>
      <c r="V8" s="1458" t="s">
        <v>8</v>
      </c>
      <c r="W8" s="1459">
        <f t="shared" si="2"/>
        <v>0</v>
      </c>
      <c r="X8" s="1460"/>
      <c r="Y8" s="3680" t="s">
        <v>511</v>
      </c>
      <c r="Z8" s="3681"/>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50" t="s">
        <v>513</v>
      </c>
      <c r="Q9" s="1097" t="str">
        <f t="shared" ref="Q9:Q14" si="6">B9</f>
        <v>用途</v>
      </c>
      <c r="R9" s="1458" t="s">
        <v>8</v>
      </c>
      <c r="S9" s="1459">
        <f t="shared" si="0"/>
        <v>100</v>
      </c>
      <c r="T9" s="1458" t="s">
        <v>8</v>
      </c>
      <c r="U9" s="1459">
        <f t="shared" si="1"/>
        <v>100</v>
      </c>
      <c r="V9" s="1458" t="s">
        <v>8</v>
      </c>
      <c r="W9" s="1459">
        <f t="shared" si="2"/>
        <v>100</v>
      </c>
      <c r="X9" s="1460"/>
      <c r="Y9" s="3594" t="s">
        <v>514</v>
      </c>
      <c r="Z9" s="1096" t="str">
        <f t="shared" ref="Z9:Z14" si="7">Q9</f>
        <v>用途</v>
      </c>
      <c r="AA9" s="1461">
        <f t="shared" si="3"/>
        <v>1</v>
      </c>
      <c r="AB9" s="1461">
        <f t="shared" si="4"/>
        <v>1</v>
      </c>
      <c r="AC9" s="1461">
        <f t="shared" si="5"/>
        <v>1</v>
      </c>
    </row>
    <row r="10" spans="1:29" s="1247" customFormat="1" ht="30">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50"/>
      <c r="Q10" s="1097" t="str">
        <f t="shared" si="6"/>
        <v>土地使用年限（年）</v>
      </c>
      <c r="R10" s="1458" t="s">
        <v>8</v>
      </c>
      <c r="S10" s="1459">
        <f t="shared" si="0"/>
        <v>100</v>
      </c>
      <c r="T10" s="1458" t="s">
        <v>8</v>
      </c>
      <c r="U10" s="1459">
        <f t="shared" si="1"/>
        <v>100</v>
      </c>
      <c r="V10" s="1458" t="s">
        <v>8</v>
      </c>
      <c r="W10" s="1459">
        <f t="shared" si="2"/>
        <v>100</v>
      </c>
      <c r="X10" s="1460"/>
      <c r="Y10" s="3594"/>
      <c r="Z10" s="1096" t="str">
        <f t="shared" si="7"/>
        <v>土地使用年限（年）</v>
      </c>
      <c r="AA10" s="1461">
        <f t="shared" si="3"/>
        <v>1</v>
      </c>
      <c r="AB10" s="1461">
        <f t="shared" si="4"/>
        <v>1</v>
      </c>
      <c r="AC10" s="1461">
        <f t="shared" si="5"/>
        <v>1</v>
      </c>
    </row>
    <row r="11" spans="1:29" ht="16">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50"/>
      <c r="Q11" s="1097">
        <f t="shared" si="6"/>
        <v>111</v>
      </c>
      <c r="R11" s="1458" t="s">
        <v>8</v>
      </c>
      <c r="S11" s="1459">
        <f t="shared" si="0"/>
        <v>100</v>
      </c>
      <c r="T11" s="1458" t="s">
        <v>8</v>
      </c>
      <c r="U11" s="1459">
        <f t="shared" si="1"/>
        <v>100</v>
      </c>
      <c r="V11" s="1458" t="s">
        <v>8</v>
      </c>
      <c r="W11" s="1459">
        <f t="shared" si="2"/>
        <v>100</v>
      </c>
      <c r="X11" s="1460"/>
      <c r="Y11" s="3594"/>
      <c r="Z11" s="1096">
        <f t="shared" si="7"/>
        <v>111</v>
      </c>
      <c r="AA11" s="1461">
        <f t="shared" si="3"/>
        <v>1</v>
      </c>
      <c r="AB11" s="1461">
        <f t="shared" si="4"/>
        <v>1</v>
      </c>
      <c r="AC11" s="1461">
        <f t="shared" si="5"/>
        <v>1</v>
      </c>
    </row>
    <row r="12" spans="1:29" s="1166" customFormat="1" ht="16">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50"/>
      <c r="Q12" s="1097">
        <f t="shared" si="6"/>
        <v>111</v>
      </c>
      <c r="R12" s="1458" t="s">
        <v>8</v>
      </c>
      <c r="S12" s="1459">
        <f t="shared" si="0"/>
        <v>100</v>
      </c>
      <c r="T12" s="1458" t="s">
        <v>8</v>
      </c>
      <c r="U12" s="1459">
        <f t="shared" si="1"/>
        <v>100</v>
      </c>
      <c r="V12" s="1458" t="s">
        <v>8</v>
      </c>
      <c r="W12" s="1459">
        <f t="shared" si="2"/>
        <v>100</v>
      </c>
      <c r="X12" s="1460"/>
      <c r="Y12" s="3594"/>
      <c r="Z12" s="1096">
        <f t="shared" si="7"/>
        <v>111</v>
      </c>
      <c r="AA12" s="1461">
        <f>D12/F12</f>
        <v>1</v>
      </c>
      <c r="AB12" s="1461">
        <f>D12/H12</f>
        <v>1</v>
      </c>
      <c r="AC12" s="1461">
        <f>D12/J12</f>
        <v>1</v>
      </c>
    </row>
    <row r="13" spans="1:29" ht="17"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50"/>
      <c r="Q13" s="1097">
        <f t="shared" si="6"/>
        <v>111</v>
      </c>
      <c r="R13" s="1458" t="s">
        <v>8</v>
      </c>
      <c r="S13" s="1459">
        <f t="shared" si="0"/>
        <v>100</v>
      </c>
      <c r="T13" s="1458" t="s">
        <v>8</v>
      </c>
      <c r="U13" s="1459">
        <f t="shared" si="1"/>
        <v>100</v>
      </c>
      <c r="V13" s="1458" t="s">
        <v>8</v>
      </c>
      <c r="W13" s="1459">
        <f t="shared" si="2"/>
        <v>100</v>
      </c>
      <c r="X13" s="1460"/>
      <c r="Y13" s="3594"/>
      <c r="Z13" s="1096">
        <f t="shared" si="7"/>
        <v>111</v>
      </c>
      <c r="AA13" s="1461">
        <f t="shared" si="3"/>
        <v>1</v>
      </c>
      <c r="AB13" s="1461">
        <f t="shared" si="4"/>
        <v>1</v>
      </c>
      <c r="AC13" s="1461">
        <f t="shared" si="5"/>
        <v>1</v>
      </c>
    </row>
    <row r="14" spans="1:29" ht="90">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83" t="s">
        <v>518</v>
      </c>
      <c r="Q14" s="1462" t="str">
        <f t="shared" si="6"/>
        <v>交通便捷度</v>
      </c>
      <c r="R14" s="1463" t="s">
        <v>8</v>
      </c>
      <c r="S14" s="1464">
        <f t="shared" si="0"/>
        <v>100</v>
      </c>
      <c r="T14" s="1463" t="s">
        <v>8</v>
      </c>
      <c r="U14" s="1464">
        <f t="shared" si="1"/>
        <v>100</v>
      </c>
      <c r="V14" s="1463" t="s">
        <v>8</v>
      </c>
      <c r="W14" s="1464">
        <f t="shared" si="2"/>
        <v>100</v>
      </c>
      <c r="X14" s="1457"/>
      <c r="Y14" s="3683" t="s">
        <v>518</v>
      </c>
      <c r="Z14" s="1465" t="str">
        <f t="shared" si="7"/>
        <v>交通便捷度</v>
      </c>
      <c r="AA14" s="1466">
        <f t="shared" si="3"/>
        <v>1</v>
      </c>
      <c r="AB14" s="1466">
        <f t="shared" si="4"/>
        <v>1</v>
      </c>
      <c r="AC14" s="1466">
        <f t="shared" si="5"/>
        <v>1</v>
      </c>
    </row>
    <row r="15" spans="1:29" ht="16">
      <c r="A15" s="508"/>
      <c r="B15" s="840"/>
      <c r="C15" s="552"/>
      <c r="D15" s="531"/>
      <c r="E15" s="552"/>
      <c r="F15" s="533"/>
      <c r="G15" s="552"/>
      <c r="H15" s="535"/>
      <c r="I15" s="552"/>
      <c r="J15" s="531"/>
      <c r="K15" s="870"/>
      <c r="L15" s="1976"/>
      <c r="M15" s="1968"/>
      <c r="N15" s="1968"/>
      <c r="O15" s="1975"/>
      <c r="P15" s="3684"/>
      <c r="Q15" s="1462"/>
      <c r="R15" s="1463"/>
      <c r="S15" s="1464"/>
      <c r="T15" s="1463"/>
      <c r="U15" s="1464"/>
      <c r="V15" s="1463"/>
      <c r="W15" s="1464"/>
      <c r="X15" s="1457"/>
      <c r="Y15" s="3684"/>
      <c r="Z15" s="1465"/>
      <c r="AA15" s="1466">
        <v>1</v>
      </c>
      <c r="AB15" s="1466">
        <v>1</v>
      </c>
      <c r="AC15" s="1466">
        <v>1</v>
      </c>
    </row>
    <row r="16" spans="1:29" ht="4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84"/>
      <c r="Q16" s="1462" t="str">
        <f>B16</f>
        <v>公共配套设施</v>
      </c>
      <c r="R16" s="1463" t="s">
        <v>8</v>
      </c>
      <c r="S16" s="1464">
        <f>F16</f>
        <v>100</v>
      </c>
      <c r="T16" s="1463" t="s">
        <v>8</v>
      </c>
      <c r="U16" s="1464">
        <f>H16</f>
        <v>100</v>
      </c>
      <c r="V16" s="1463" t="s">
        <v>8</v>
      </c>
      <c r="W16" s="1464">
        <f>J16</f>
        <v>100</v>
      </c>
      <c r="X16" s="1457"/>
      <c r="Y16" s="3684"/>
      <c r="Z16" s="1465" t="str">
        <f>Q16</f>
        <v>公共配套设施</v>
      </c>
      <c r="AA16" s="1466">
        <f t="shared" si="3"/>
        <v>1</v>
      </c>
      <c r="AB16" s="1466">
        <f t="shared" si="4"/>
        <v>1</v>
      </c>
      <c r="AC16" s="1466">
        <f t="shared" si="5"/>
        <v>1</v>
      </c>
    </row>
    <row r="17" spans="1:29" ht="16">
      <c r="A17" s="508"/>
      <c r="B17" s="542"/>
      <c r="C17" s="844"/>
      <c r="D17" s="531"/>
      <c r="E17" s="552"/>
      <c r="F17" s="533"/>
      <c r="G17" s="552"/>
      <c r="H17" s="531"/>
      <c r="I17" s="552"/>
      <c r="J17" s="531"/>
      <c r="K17" s="870"/>
      <c r="L17" s="1976"/>
      <c r="M17" s="1968"/>
      <c r="N17" s="1968"/>
      <c r="O17" s="1975"/>
      <c r="P17" s="3684"/>
      <c r="Q17" s="1462"/>
      <c r="R17" s="1463"/>
      <c r="S17" s="1464"/>
      <c r="T17" s="1463"/>
      <c r="U17" s="1464"/>
      <c r="V17" s="1463"/>
      <c r="W17" s="1464"/>
      <c r="X17" s="1457"/>
      <c r="Y17" s="3684"/>
      <c r="Z17" s="1465"/>
      <c r="AA17" s="1466">
        <v>1</v>
      </c>
      <c r="AB17" s="1466">
        <v>1</v>
      </c>
      <c r="AC17" s="1466">
        <v>1</v>
      </c>
    </row>
    <row r="18" spans="1:29" ht="30">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84"/>
      <c r="Q18" s="2378" t="str">
        <f>B18</f>
        <v>基础设施水平</v>
      </c>
      <c r="R18" s="1463" t="s">
        <v>8</v>
      </c>
      <c r="S18" s="1464">
        <f>F18</f>
        <v>100</v>
      </c>
      <c r="T18" s="1463" t="s">
        <v>8</v>
      </c>
      <c r="U18" s="1464">
        <f>H18</f>
        <v>100</v>
      </c>
      <c r="V18" s="1463" t="s">
        <v>8</v>
      </c>
      <c r="W18" s="1464">
        <f>J18</f>
        <v>100</v>
      </c>
      <c r="X18" s="2380"/>
      <c r="Y18" s="3684"/>
      <c r="Z18" s="2379" t="str">
        <f>Q18</f>
        <v>基础设施水平</v>
      </c>
      <c r="AA18" s="1466">
        <f t="shared" ref="AA18" si="8">D18/F18</f>
        <v>1</v>
      </c>
      <c r="AB18" s="1466">
        <f t="shared" ref="AB18" si="9">D18/H18</f>
        <v>1</v>
      </c>
      <c r="AC18" s="1466">
        <f t="shared" ref="AC18" si="10">D18/J18</f>
        <v>1</v>
      </c>
    </row>
    <row r="19" spans="1:29" ht="16">
      <c r="A19" s="508"/>
      <c r="B19" s="554"/>
      <c r="C19" s="844"/>
      <c r="D19" s="535"/>
      <c r="E19" s="844"/>
      <c r="F19" s="539"/>
      <c r="G19" s="844"/>
      <c r="H19" s="531"/>
      <c r="I19" s="552"/>
      <c r="J19" s="531"/>
      <c r="K19" s="2395"/>
      <c r="L19" s="1976"/>
      <c r="M19" s="1968"/>
      <c r="N19" s="1968"/>
      <c r="O19" s="1975"/>
      <c r="P19" s="3684"/>
      <c r="Q19" s="2378"/>
      <c r="R19" s="1463"/>
      <c r="S19" s="1464"/>
      <c r="T19" s="1463"/>
      <c r="U19" s="1464"/>
      <c r="V19" s="1463"/>
      <c r="W19" s="1464"/>
      <c r="X19" s="2380"/>
      <c r="Y19" s="3684"/>
      <c r="Z19" s="2379"/>
      <c r="AA19" s="1466">
        <v>1</v>
      </c>
      <c r="AB19" s="1466">
        <v>1</v>
      </c>
      <c r="AC19" s="1466">
        <v>1</v>
      </c>
    </row>
    <row r="20" spans="1:29" ht="60">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84"/>
      <c r="Q20" s="1462" t="str">
        <f>B20</f>
        <v>自然及人文环境</v>
      </c>
      <c r="R20" s="1463" t="s">
        <v>8</v>
      </c>
      <c r="S20" s="1464">
        <f>F20</f>
        <v>100</v>
      </c>
      <c r="T20" s="1463" t="s">
        <v>8</v>
      </c>
      <c r="U20" s="1464">
        <f>H20</f>
        <v>100</v>
      </c>
      <c r="V20" s="1463" t="s">
        <v>8</v>
      </c>
      <c r="W20" s="1464">
        <f>J20</f>
        <v>100</v>
      </c>
      <c r="X20" s="1457"/>
      <c r="Y20" s="3684"/>
      <c r="Z20" s="1465" t="str">
        <f>Q20</f>
        <v>自然及人文环境</v>
      </c>
      <c r="AA20" s="1466">
        <f t="shared" si="3"/>
        <v>1</v>
      </c>
      <c r="AB20" s="1466">
        <f t="shared" si="4"/>
        <v>1</v>
      </c>
      <c r="AC20" s="1466">
        <f t="shared" si="5"/>
        <v>1</v>
      </c>
    </row>
    <row r="21" spans="1:29" ht="16">
      <c r="A21" s="508"/>
      <c r="B21" s="571"/>
      <c r="C21" s="552"/>
      <c r="D21" s="531"/>
      <c r="E21" s="552"/>
      <c r="F21" s="533"/>
      <c r="G21" s="552"/>
      <c r="H21" s="531"/>
      <c r="I21" s="552"/>
      <c r="J21" s="531"/>
      <c r="K21" s="870"/>
      <c r="L21" s="1976"/>
      <c r="M21" s="1968"/>
      <c r="N21" s="1968"/>
      <c r="O21" s="1975"/>
      <c r="P21" s="3684"/>
      <c r="Q21" s="1462"/>
      <c r="R21" s="1463"/>
      <c r="S21" s="1464"/>
      <c r="T21" s="1463"/>
      <c r="U21" s="1464"/>
      <c r="V21" s="1463"/>
      <c r="W21" s="1464"/>
      <c r="X21" s="1457"/>
      <c r="Y21" s="3684"/>
      <c r="Z21" s="1465"/>
      <c r="AA21" s="1466">
        <v>1</v>
      </c>
      <c r="AB21" s="1466">
        <v>1</v>
      </c>
      <c r="AC21" s="1466">
        <v>1</v>
      </c>
    </row>
    <row r="22" spans="1:29" ht="16">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84"/>
      <c r="Q22" s="1462" t="str">
        <f>B22</f>
        <v>楼层</v>
      </c>
      <c r="R22" s="1463" t="s">
        <v>8</v>
      </c>
      <c r="S22" s="1464">
        <f>F22</f>
        <v>100</v>
      </c>
      <c r="T22" s="1463" t="s">
        <v>8</v>
      </c>
      <c r="U22" s="1464">
        <f>H22</f>
        <v>100</v>
      </c>
      <c r="V22" s="1463" t="s">
        <v>8</v>
      </c>
      <c r="W22" s="1464">
        <f>J22</f>
        <v>100</v>
      </c>
      <c r="X22" s="1457"/>
      <c r="Y22" s="3684"/>
      <c r="Z22" s="1465" t="str">
        <f>Q22</f>
        <v>楼层</v>
      </c>
      <c r="AA22" s="1466">
        <f t="shared" si="3"/>
        <v>1</v>
      </c>
      <c r="AB22" s="1466">
        <f t="shared" si="4"/>
        <v>1</v>
      </c>
      <c r="AC22" s="1466">
        <f t="shared" si="5"/>
        <v>1</v>
      </c>
    </row>
    <row r="23" spans="1:29" ht="16">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84"/>
      <c r="Q23" s="1462">
        <f>B23</f>
        <v>111</v>
      </c>
      <c r="R23" s="1463" t="s">
        <v>8</v>
      </c>
      <c r="S23" s="1464">
        <f>F23</f>
        <v>100</v>
      </c>
      <c r="T23" s="1463" t="s">
        <v>8</v>
      </c>
      <c r="U23" s="1464">
        <f>H23</f>
        <v>100</v>
      </c>
      <c r="V23" s="1463" t="s">
        <v>8</v>
      </c>
      <c r="W23" s="1464">
        <f>J23</f>
        <v>100</v>
      </c>
      <c r="X23" s="1457"/>
      <c r="Y23" s="3684"/>
      <c r="Z23" s="1465">
        <f>Q23</f>
        <v>111</v>
      </c>
      <c r="AA23" s="1466">
        <f t="shared" si="3"/>
        <v>1</v>
      </c>
      <c r="AB23" s="1466">
        <f t="shared" si="4"/>
        <v>1</v>
      </c>
      <c r="AC23" s="1466">
        <f t="shared" si="5"/>
        <v>1</v>
      </c>
    </row>
    <row r="24" spans="1:29" ht="16">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84"/>
      <c r="Q24" s="1462">
        <f t="shared" ref="Q24:Q34" si="11">B24</f>
        <v>111</v>
      </c>
      <c r="R24" s="1463" t="s">
        <v>8</v>
      </c>
      <c r="S24" s="1464">
        <f>F24</f>
        <v>100</v>
      </c>
      <c r="T24" s="1463" t="s">
        <v>8</v>
      </c>
      <c r="U24" s="1464">
        <f>H24</f>
        <v>100</v>
      </c>
      <c r="V24" s="1463" t="s">
        <v>8</v>
      </c>
      <c r="W24" s="1464">
        <f>J24</f>
        <v>100</v>
      </c>
      <c r="X24" s="1457"/>
      <c r="Y24" s="3684"/>
      <c r="Z24" s="1465">
        <f>Q24</f>
        <v>111</v>
      </c>
      <c r="AA24" s="1466">
        <f t="shared" si="3"/>
        <v>1</v>
      </c>
      <c r="AB24" s="1466">
        <f t="shared" si="4"/>
        <v>1</v>
      </c>
      <c r="AC24" s="1466">
        <f t="shared" si="5"/>
        <v>1</v>
      </c>
    </row>
    <row r="25" spans="1:29" s="1166" customFormat="1" ht="17"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84"/>
      <c r="Q25" s="1097">
        <f t="shared" si="11"/>
        <v>111</v>
      </c>
      <c r="R25" s="1458" t="s">
        <v>8</v>
      </c>
      <c r="S25" s="1459">
        <f>F25</f>
        <v>100</v>
      </c>
      <c r="T25" s="1458" t="s">
        <v>8</v>
      </c>
      <c r="U25" s="1459">
        <f>H25</f>
        <v>100</v>
      </c>
      <c r="V25" s="1458" t="s">
        <v>8</v>
      </c>
      <c r="W25" s="1459">
        <f>J25</f>
        <v>100</v>
      </c>
      <c r="X25" s="1460"/>
      <c r="Y25" s="3684"/>
      <c r="Z25" s="1096">
        <f>Q25</f>
        <v>111</v>
      </c>
      <c r="AA25" s="1466">
        <f>D25/F25</f>
        <v>1</v>
      </c>
      <c r="AB25" s="1466">
        <f>D25/H25</f>
        <v>1</v>
      </c>
      <c r="AC25" s="1466">
        <f>D25/J25</f>
        <v>1</v>
      </c>
    </row>
    <row r="26" spans="1:29" ht="16">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85"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86" t="s">
        <v>798</v>
      </c>
      <c r="Z26" s="1465" t="str">
        <f t="shared" ref="Z26:Z34" si="15">Q26</f>
        <v>公共部分装修</v>
      </c>
      <c r="AA26" s="1466">
        <f t="shared" si="3"/>
        <v>1</v>
      </c>
      <c r="AB26" s="1466">
        <f t="shared" si="4"/>
        <v>1</v>
      </c>
      <c r="AC26" s="1466">
        <f t="shared" si="5"/>
        <v>1</v>
      </c>
    </row>
    <row r="27" spans="1:29" s="1248" customFormat="1" ht="16">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86"/>
      <c r="Q27" s="1491" t="str">
        <f t="shared" si="11"/>
        <v>成新率</v>
      </c>
      <c r="R27" s="1467" t="s">
        <v>8</v>
      </c>
      <c r="S27" s="1468" t="e">
        <f t="shared" si="12"/>
        <v>#N/A</v>
      </c>
      <c r="T27" s="1467" t="s">
        <v>8</v>
      </c>
      <c r="U27" s="1468" t="e">
        <f t="shared" si="13"/>
        <v>#N/A</v>
      </c>
      <c r="V27" s="1467" t="s">
        <v>8</v>
      </c>
      <c r="W27" s="1468" t="e">
        <f t="shared" si="14"/>
        <v>#N/A</v>
      </c>
      <c r="X27" s="1469"/>
      <c r="Y27" s="3686"/>
      <c r="Z27" s="1470" t="str">
        <f t="shared" si="15"/>
        <v>成新率</v>
      </c>
      <c r="AA27" s="1466" t="e">
        <f t="shared" si="3"/>
        <v>#N/A</v>
      </c>
      <c r="AB27" s="1466" t="e">
        <f t="shared" si="4"/>
        <v>#N/A</v>
      </c>
      <c r="AC27" s="1466" t="e">
        <f t="shared" si="5"/>
        <v>#N/A</v>
      </c>
    </row>
    <row r="28" spans="1:29" ht="16">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86"/>
      <c r="Q28" s="1462" t="str">
        <f t="shared" si="11"/>
        <v>物业等级</v>
      </c>
      <c r="R28" s="1463" t="s">
        <v>8</v>
      </c>
      <c r="S28" s="1464">
        <f t="shared" si="12"/>
        <v>100</v>
      </c>
      <c r="T28" s="1463" t="s">
        <v>8</v>
      </c>
      <c r="U28" s="1464">
        <f t="shared" si="13"/>
        <v>100</v>
      </c>
      <c r="V28" s="1463" t="s">
        <v>8</v>
      </c>
      <c r="W28" s="1464">
        <f t="shared" si="14"/>
        <v>100</v>
      </c>
      <c r="X28" s="1457"/>
      <c r="Y28" s="3686"/>
      <c r="Z28" s="1465" t="str">
        <f t="shared" si="15"/>
        <v>物业等级</v>
      </c>
      <c r="AA28" s="1466">
        <f t="shared" si="3"/>
        <v>1</v>
      </c>
      <c r="AB28" s="1466">
        <f t="shared" si="4"/>
        <v>1</v>
      </c>
      <c r="AC28" s="1466">
        <f t="shared" si="5"/>
        <v>1</v>
      </c>
    </row>
    <row r="29" spans="1:29" ht="16">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86"/>
      <c r="Q29" s="1462" t="str">
        <f t="shared" si="11"/>
        <v>有无电梯</v>
      </c>
      <c r="R29" s="1463" t="s">
        <v>8</v>
      </c>
      <c r="S29" s="1464">
        <f t="shared" si="12"/>
        <v>100</v>
      </c>
      <c r="T29" s="1463" t="s">
        <v>8</v>
      </c>
      <c r="U29" s="1464">
        <f t="shared" si="13"/>
        <v>100</v>
      </c>
      <c r="V29" s="1463" t="s">
        <v>8</v>
      </c>
      <c r="W29" s="1464">
        <f t="shared" si="14"/>
        <v>100</v>
      </c>
      <c r="X29" s="1457"/>
      <c r="Y29" s="3686"/>
      <c r="Z29" s="1465" t="str">
        <f t="shared" si="15"/>
        <v>有无电梯</v>
      </c>
      <c r="AA29" s="1466">
        <f t="shared" si="3"/>
        <v>1</v>
      </c>
      <c r="AB29" s="1466">
        <f t="shared" si="4"/>
        <v>1</v>
      </c>
      <c r="AC29" s="1466">
        <f t="shared" si="5"/>
        <v>1</v>
      </c>
    </row>
    <row r="30" spans="1:29" ht="16">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86"/>
      <c r="Q30" s="1462" t="str">
        <f t="shared" si="11"/>
        <v>建筑面积</v>
      </c>
      <c r="R30" s="1463" t="s">
        <v>8</v>
      </c>
      <c r="S30" s="1464" t="e">
        <f t="shared" si="12"/>
        <v>#N/A</v>
      </c>
      <c r="T30" s="1463" t="s">
        <v>8</v>
      </c>
      <c r="U30" s="1464" t="e">
        <f t="shared" si="13"/>
        <v>#N/A</v>
      </c>
      <c r="V30" s="1463" t="s">
        <v>8</v>
      </c>
      <c r="W30" s="1464" t="e">
        <f t="shared" si="14"/>
        <v>#N/A</v>
      </c>
      <c r="X30" s="1457"/>
      <c r="Y30" s="3686"/>
      <c r="Z30" s="1465" t="str">
        <f t="shared" si="15"/>
        <v>建筑面积</v>
      </c>
      <c r="AA30" s="1466" t="e">
        <f t="shared" si="3"/>
        <v>#N/A</v>
      </c>
      <c r="AB30" s="1466" t="e">
        <f t="shared" si="4"/>
        <v>#N/A</v>
      </c>
      <c r="AC30" s="1466" t="e">
        <f t="shared" si="5"/>
        <v>#N/A</v>
      </c>
    </row>
    <row r="31" spans="1:29" s="1166" customFormat="1" ht="16">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86"/>
      <c r="Q31" s="1097" t="str">
        <f t="shared" si="11"/>
        <v>是否封闭</v>
      </c>
      <c r="R31" s="1458" t="s">
        <v>8</v>
      </c>
      <c r="S31" s="1459">
        <f t="shared" si="12"/>
        <v>100</v>
      </c>
      <c r="T31" s="1458" t="s">
        <v>8</v>
      </c>
      <c r="U31" s="1459">
        <f t="shared" si="13"/>
        <v>100</v>
      </c>
      <c r="V31" s="1458" t="s">
        <v>8</v>
      </c>
      <c r="W31" s="1459">
        <f t="shared" si="14"/>
        <v>100</v>
      </c>
      <c r="X31" s="1460"/>
      <c r="Y31" s="3686"/>
      <c r="Z31" s="1096" t="str">
        <f t="shared" si="15"/>
        <v>是否封闭</v>
      </c>
      <c r="AA31" s="1461">
        <f t="shared" si="3"/>
        <v>1</v>
      </c>
      <c r="AB31" s="1461">
        <f t="shared" si="4"/>
        <v>1</v>
      </c>
      <c r="AC31" s="1461">
        <f t="shared" si="5"/>
        <v>1</v>
      </c>
    </row>
    <row r="32" spans="1:29" ht="16">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86" t="s">
        <v>528</v>
      </c>
      <c r="Q32" s="1462">
        <f t="shared" si="11"/>
        <v>111</v>
      </c>
      <c r="R32" s="1463" t="s">
        <v>8</v>
      </c>
      <c r="S32" s="1464">
        <f t="shared" si="12"/>
        <v>100</v>
      </c>
      <c r="T32" s="1463" t="s">
        <v>8</v>
      </c>
      <c r="U32" s="1464">
        <f t="shared" si="13"/>
        <v>100</v>
      </c>
      <c r="V32" s="1463" t="s">
        <v>8</v>
      </c>
      <c r="W32" s="1464">
        <f t="shared" si="14"/>
        <v>100</v>
      </c>
      <c r="X32" s="1457"/>
      <c r="Y32" s="3686" t="s">
        <v>528</v>
      </c>
      <c r="Z32" s="1465">
        <f t="shared" si="15"/>
        <v>111</v>
      </c>
      <c r="AA32" s="1466">
        <f t="shared" si="3"/>
        <v>1</v>
      </c>
      <c r="AB32" s="1466">
        <f t="shared" si="4"/>
        <v>1</v>
      </c>
      <c r="AC32" s="1466">
        <f t="shared" si="5"/>
        <v>1</v>
      </c>
    </row>
    <row r="33" spans="1:29" ht="16">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86"/>
      <c r="Q33" s="1462">
        <f t="shared" si="11"/>
        <v>111</v>
      </c>
      <c r="R33" s="1463" t="s">
        <v>8</v>
      </c>
      <c r="S33" s="1464">
        <f t="shared" si="12"/>
        <v>100</v>
      </c>
      <c r="T33" s="1463" t="s">
        <v>8</v>
      </c>
      <c r="U33" s="1464">
        <f t="shared" si="13"/>
        <v>100</v>
      </c>
      <c r="V33" s="1463" t="s">
        <v>8</v>
      </c>
      <c r="W33" s="1464">
        <f t="shared" si="14"/>
        <v>100</v>
      </c>
      <c r="X33" s="1457"/>
      <c r="Y33" s="3686"/>
      <c r="Z33" s="1465">
        <f t="shared" si="15"/>
        <v>111</v>
      </c>
      <c r="AA33" s="1466">
        <f t="shared" si="3"/>
        <v>1</v>
      </c>
      <c r="AB33" s="1466">
        <f t="shared" si="4"/>
        <v>1</v>
      </c>
      <c r="AC33" s="1466">
        <f t="shared" si="5"/>
        <v>1</v>
      </c>
    </row>
    <row r="34" spans="1:29" ht="17"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86"/>
      <c r="Q34" s="1462">
        <f t="shared" si="11"/>
        <v>111</v>
      </c>
      <c r="R34" s="1463" t="s">
        <v>8</v>
      </c>
      <c r="S34" s="1464">
        <f t="shared" si="12"/>
        <v>100</v>
      </c>
      <c r="T34" s="1463" t="s">
        <v>8</v>
      </c>
      <c r="U34" s="1464">
        <f t="shared" si="13"/>
        <v>100</v>
      </c>
      <c r="V34" s="1463" t="s">
        <v>8</v>
      </c>
      <c r="W34" s="1464">
        <f t="shared" si="14"/>
        <v>100</v>
      </c>
      <c r="X34" s="1457"/>
      <c r="Y34" s="3686"/>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50" t="str">
        <f>A35</f>
        <v>成交单价（元/平方米）</v>
      </c>
      <c r="Q35" s="3650"/>
      <c r="R35" s="3813">
        <f>E35</f>
        <v>0</v>
      </c>
      <c r="S35" s="3813"/>
      <c r="T35" s="3813">
        <f>G35</f>
        <v>0</v>
      </c>
      <c r="U35" s="3813"/>
      <c r="V35" s="3813">
        <f>I35</f>
        <v>0</v>
      </c>
      <c r="W35" s="3813"/>
      <c r="X35" s="1452"/>
      <c r="Y35" s="1471"/>
      <c r="Z35" s="1452"/>
      <c r="AA35" s="1452"/>
      <c r="AB35" s="1452"/>
      <c r="AC35" s="1452"/>
    </row>
    <row r="36" spans="1:29" ht="1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50" t="str">
        <f>A36</f>
        <v>比较价格（元/平方米）</v>
      </c>
      <c r="Q36" s="3650"/>
      <c r="R36" s="3813" t="e">
        <f>IF(F1="售价",ROUND(PRODUCT(R35,AA7:AA34),0),ROUND(PRODUCT(R35,AA7:AA34),1))</f>
        <v>#DIV/0!</v>
      </c>
      <c r="S36" s="3813"/>
      <c r="T36" s="3813" t="e">
        <f>IF(F1="售价",ROUND(PRODUCT(T35,AB7:AB34),0),ROUND(PRODUCT(T35,AB7:AB34),1))</f>
        <v>#DIV/0!</v>
      </c>
      <c r="U36" s="3813"/>
      <c r="V36" s="3813" t="e">
        <f>IF(F1="售价",ROUND(PRODUCT(V35,AC7:AC34),0),ROUND(PRODUCT(V35,AC7:AC34),1))</f>
        <v>#DIV/0!</v>
      </c>
      <c r="W36" s="3813"/>
      <c r="X36" s="1452"/>
      <c r="Y36" s="1452"/>
      <c r="Z36" s="1452"/>
      <c r="AA36" s="1452"/>
      <c r="AB36" s="1452"/>
      <c r="AC36" s="1452"/>
    </row>
    <row r="37" spans="1:29" ht="15" thickBot="1">
      <c r="A37" s="595" t="s">
        <v>2691</v>
      </c>
      <c r="B37" s="596"/>
      <c r="C37" s="2427" t="e">
        <f>R37</f>
        <v>#DIV/0!</v>
      </c>
      <c r="D37" s="2427"/>
      <c r="E37" s="2427"/>
      <c r="F37" s="2427"/>
      <c r="G37" s="2427"/>
      <c r="H37" s="2427"/>
      <c r="I37" s="2427"/>
      <c r="J37" s="2427"/>
      <c r="K37" s="1497"/>
      <c r="L37" s="1978"/>
      <c r="M37" s="1979"/>
      <c r="N37" s="1979"/>
      <c r="O37" s="1979"/>
      <c r="P37" s="3687" t="str">
        <f>A37</f>
        <v>估价对象XX用房的比较价格（楼面单价，元/平方米）</v>
      </c>
      <c r="Q37" s="3688"/>
      <c r="R37" s="3812" t="e">
        <f>IF(F1="售价",ROUND(IF(D36="简单平均",AVERAGE(R36:W36),R36*F36+T36*H36+V36*J36),0),ROUND(IF(D36="简单平均",AVERAGE(R36:V36),R36*F36+T36*H36+V36*J36),1))</f>
        <v>#DIV/0!</v>
      </c>
      <c r="S37" s="3812"/>
      <c r="T37" s="3812"/>
      <c r="U37" s="3812"/>
      <c r="V37" s="3812"/>
      <c r="W37" s="3812"/>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2022-9</v>
      </c>
      <c r="D46" s="2470">
        <f>EDATE(C46,-1)</f>
        <v>44774</v>
      </c>
      <c r="E46" s="2470">
        <f t="shared" ref="E46:O46" si="16">EDATE(D46,-1)</f>
        <v>44743</v>
      </c>
      <c r="F46" s="2470">
        <f t="shared" si="16"/>
        <v>44713</v>
      </c>
      <c r="G46" s="2470">
        <f t="shared" si="16"/>
        <v>44682</v>
      </c>
      <c r="H46" s="2470">
        <f t="shared" si="16"/>
        <v>44652</v>
      </c>
      <c r="I46" s="2470">
        <f t="shared" si="16"/>
        <v>44621</v>
      </c>
      <c r="J46" s="2470">
        <f t="shared" si="16"/>
        <v>44593</v>
      </c>
      <c r="K46" s="2470">
        <f t="shared" si="16"/>
        <v>44562</v>
      </c>
      <c r="L46" s="2470">
        <f t="shared" si="16"/>
        <v>44531</v>
      </c>
      <c r="M46" s="2470">
        <f t="shared" si="16"/>
        <v>44501</v>
      </c>
      <c r="N46" s="2470">
        <f t="shared" si="16"/>
        <v>44470</v>
      </c>
      <c r="O46" s="2470">
        <f t="shared" si="16"/>
        <v>44440</v>
      </c>
      <c r="P46" s="1993"/>
      <c r="Q46" s="1994"/>
      <c r="R46" s="1994"/>
      <c r="S46" s="1994"/>
      <c r="T46" s="1994"/>
      <c r="U46" s="1994"/>
      <c r="V46" s="1994"/>
      <c r="W46" s="1994"/>
      <c r="X46" s="1994"/>
      <c r="Y46" s="1994"/>
      <c r="Z46" s="1994"/>
      <c r="AA46" s="1994"/>
      <c r="AB46" s="1994"/>
      <c r="AC46" s="1994"/>
    </row>
    <row r="47" spans="1:29" s="1166" customFormat="1">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ht="15">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31"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6"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6"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6"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6"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6"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6"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6"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6"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6"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6"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6"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6"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38" activePane="bottomLeft" state="frozen"/>
      <selection pane="bottomLeft" activeCell="U464" sqref="U464"/>
    </sheetView>
  </sheetViews>
  <sheetFormatPr baseColWidth="10" defaultColWidth="9" defaultRowHeight="13"/>
  <cols>
    <col min="1" max="1" width="11.5" style="1167" customWidth="1"/>
    <col min="2" max="2" width="9.16406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22" t="s">
        <v>2087</v>
      </c>
      <c r="D1" s="3823"/>
      <c r="E1" s="3823"/>
      <c r="F1" s="3823"/>
      <c r="G1" s="3823"/>
      <c r="H1" s="3823"/>
      <c r="I1" s="3823"/>
      <c r="J1" s="3823"/>
      <c r="K1" s="3823"/>
      <c r="L1" s="3823"/>
      <c r="M1" s="3823"/>
      <c r="N1" s="3823"/>
      <c r="O1" s="3823"/>
      <c r="P1" s="3823"/>
      <c r="Q1" s="3823"/>
      <c r="R1" s="3823"/>
      <c r="S1" s="3824"/>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ht="14">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4"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ht="14">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4"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ht="14">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4"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ht="14">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4"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ht="14">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4"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ht="14">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4"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ht="14">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4"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ht="15">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4"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6">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6">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ht="14">
      <c r="A22" s="771" t="s">
        <v>806</v>
      </c>
      <c r="B22" s="53">
        <f>SUM(B24:B10000)</f>
        <v>0</v>
      </c>
      <c r="C22" s="3819" t="s">
        <v>20</v>
      </c>
      <c r="D22" s="3820"/>
      <c r="E22" s="3820"/>
      <c r="F22" s="3820"/>
      <c r="G22" s="3820"/>
      <c r="H22" s="3820"/>
      <c r="I22" s="3820"/>
      <c r="J22" s="3820"/>
      <c r="K22" s="3820"/>
      <c r="L22" s="3820"/>
      <c r="M22" s="3820"/>
      <c r="N22" s="3820"/>
      <c r="O22" s="3820"/>
      <c r="P22" s="3820"/>
      <c r="Q22" s="3821"/>
      <c r="R22" s="474" t="e">
        <f>ROUND(S22*10000/B22,0)</f>
        <v>#DIV/0!</v>
      </c>
      <c r="S22" s="53">
        <f>SUM(S24:S10000)</f>
        <v>0</v>
      </c>
    </row>
    <row r="23" spans="1:45" s="1498" customFormat="1" ht="30">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ht="14">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baseColWidth="10" defaultColWidth="8.83203125" defaultRowHeight="14"/>
  <cols>
    <col min="1" max="1" width="4.83203125" style="2607" customWidth="1"/>
    <col min="2" max="2" width="13.1640625" style="2613" customWidth="1"/>
    <col min="3" max="3" width="15.6640625" style="2613" customWidth="1"/>
    <col min="4" max="4" width="9.33203125" style="2613" bestFit="1" customWidth="1"/>
    <col min="5" max="5" width="13.5" style="2613" customWidth="1"/>
    <col min="6" max="6" width="9" style="2613"/>
    <col min="7" max="7" width="9.33203125" style="2613" bestFit="1" customWidth="1"/>
    <col min="8" max="9" width="9" style="2613"/>
    <col min="10" max="10" width="9.33203125" style="2613" bestFit="1" customWidth="1"/>
    <col min="11" max="11" width="4" style="2607" customWidth="1"/>
    <col min="12" max="12" width="5.1640625" style="2613" customWidth="1"/>
    <col min="13" max="13" width="13.6640625" style="2613" customWidth="1"/>
    <col min="14" max="256" width="9" style="2613"/>
    <col min="257" max="257" width="4.83203125" style="2605" customWidth="1"/>
    <col min="258" max="258" width="13.1640625" style="2605" customWidth="1"/>
    <col min="259" max="259" width="15.6640625" style="2605" customWidth="1"/>
    <col min="260" max="260" width="9.33203125" style="2605" bestFit="1" customWidth="1"/>
    <col min="261" max="261" width="13.5" style="2605" customWidth="1"/>
    <col min="262" max="262" width="9" style="2605"/>
    <col min="263" max="263" width="9.33203125" style="2605" bestFit="1" customWidth="1"/>
    <col min="264" max="265" width="9" style="2605"/>
    <col min="266" max="266" width="9.33203125" style="2605" bestFit="1" customWidth="1"/>
    <col min="267" max="267" width="4" style="2605" customWidth="1"/>
    <col min="268" max="268" width="5.1640625" style="2605" customWidth="1"/>
    <col min="269" max="269" width="13.6640625" style="2605" customWidth="1"/>
    <col min="270" max="512" width="9" style="2605"/>
    <col min="513" max="513" width="4.83203125" style="2605" customWidth="1"/>
    <col min="514" max="514" width="13.1640625" style="2605" customWidth="1"/>
    <col min="515" max="515" width="15.6640625" style="2605" customWidth="1"/>
    <col min="516" max="516" width="9.33203125" style="2605" bestFit="1" customWidth="1"/>
    <col min="517" max="517" width="13.5" style="2605" customWidth="1"/>
    <col min="518" max="518" width="9" style="2605"/>
    <col min="519" max="519" width="9.33203125" style="2605" bestFit="1" customWidth="1"/>
    <col min="520" max="521" width="9" style="2605"/>
    <col min="522" max="522" width="9.33203125" style="2605" bestFit="1" customWidth="1"/>
    <col min="523" max="523" width="4" style="2605" customWidth="1"/>
    <col min="524" max="524" width="5.1640625" style="2605" customWidth="1"/>
    <col min="525" max="525" width="13.6640625" style="2605" customWidth="1"/>
    <col min="526" max="768" width="9" style="2605"/>
    <col min="769" max="769" width="4.83203125" style="2605" customWidth="1"/>
    <col min="770" max="770" width="13.1640625" style="2605" customWidth="1"/>
    <col min="771" max="771" width="15.6640625" style="2605" customWidth="1"/>
    <col min="772" max="772" width="9.33203125" style="2605" bestFit="1" customWidth="1"/>
    <col min="773" max="773" width="13.5" style="2605" customWidth="1"/>
    <col min="774" max="774" width="9" style="2605"/>
    <col min="775" max="775" width="9.33203125" style="2605" bestFit="1" customWidth="1"/>
    <col min="776" max="777" width="9" style="2605"/>
    <col min="778" max="778" width="9.33203125" style="2605" bestFit="1" customWidth="1"/>
    <col min="779" max="779" width="4" style="2605" customWidth="1"/>
    <col min="780" max="780" width="5.1640625" style="2605" customWidth="1"/>
    <col min="781" max="781" width="13.6640625" style="2605" customWidth="1"/>
    <col min="782" max="1024" width="9" style="2605"/>
    <col min="1025" max="1025" width="4.83203125" style="2605" customWidth="1"/>
    <col min="1026" max="1026" width="13.1640625" style="2605" customWidth="1"/>
    <col min="1027" max="1027" width="15.6640625" style="2605" customWidth="1"/>
    <col min="1028" max="1028" width="9.33203125" style="2605" bestFit="1" customWidth="1"/>
    <col min="1029" max="1029" width="13.5" style="2605" customWidth="1"/>
    <col min="1030" max="1030" width="9" style="2605"/>
    <col min="1031" max="1031" width="9.33203125" style="2605" bestFit="1" customWidth="1"/>
    <col min="1032" max="1033" width="9" style="2605"/>
    <col min="1034" max="1034" width="9.33203125" style="2605" bestFit="1" customWidth="1"/>
    <col min="1035" max="1035" width="4" style="2605" customWidth="1"/>
    <col min="1036" max="1036" width="5.1640625" style="2605" customWidth="1"/>
    <col min="1037" max="1037" width="13.6640625" style="2605" customWidth="1"/>
    <col min="1038" max="1280" width="9" style="2605"/>
    <col min="1281" max="1281" width="4.83203125" style="2605" customWidth="1"/>
    <col min="1282" max="1282" width="13.1640625" style="2605" customWidth="1"/>
    <col min="1283" max="1283" width="15.6640625" style="2605" customWidth="1"/>
    <col min="1284" max="1284" width="9.33203125" style="2605" bestFit="1" customWidth="1"/>
    <col min="1285" max="1285" width="13.5" style="2605" customWidth="1"/>
    <col min="1286" max="1286" width="9" style="2605"/>
    <col min="1287" max="1287" width="9.33203125" style="2605" bestFit="1" customWidth="1"/>
    <col min="1288" max="1289" width="9" style="2605"/>
    <col min="1290" max="1290" width="9.33203125" style="2605" bestFit="1" customWidth="1"/>
    <col min="1291" max="1291" width="4" style="2605" customWidth="1"/>
    <col min="1292" max="1292" width="5.1640625" style="2605" customWidth="1"/>
    <col min="1293" max="1293" width="13.6640625" style="2605" customWidth="1"/>
    <col min="1294" max="1536" width="9" style="2605"/>
    <col min="1537" max="1537" width="4.83203125" style="2605" customWidth="1"/>
    <col min="1538" max="1538" width="13.1640625" style="2605" customWidth="1"/>
    <col min="1539" max="1539" width="15.6640625" style="2605" customWidth="1"/>
    <col min="1540" max="1540" width="9.33203125" style="2605" bestFit="1" customWidth="1"/>
    <col min="1541" max="1541" width="13.5" style="2605" customWidth="1"/>
    <col min="1542" max="1542" width="9" style="2605"/>
    <col min="1543" max="1543" width="9.33203125" style="2605" bestFit="1" customWidth="1"/>
    <col min="1544" max="1545" width="9" style="2605"/>
    <col min="1546" max="1546" width="9.33203125" style="2605" bestFit="1" customWidth="1"/>
    <col min="1547" max="1547" width="4" style="2605" customWidth="1"/>
    <col min="1548" max="1548" width="5.1640625" style="2605" customWidth="1"/>
    <col min="1549" max="1549" width="13.6640625" style="2605" customWidth="1"/>
    <col min="1550" max="1792" width="9" style="2605"/>
    <col min="1793" max="1793" width="4.83203125" style="2605" customWidth="1"/>
    <col min="1794" max="1794" width="13.1640625" style="2605" customWidth="1"/>
    <col min="1795" max="1795" width="15.6640625" style="2605" customWidth="1"/>
    <col min="1796" max="1796" width="9.33203125" style="2605" bestFit="1" customWidth="1"/>
    <col min="1797" max="1797" width="13.5" style="2605" customWidth="1"/>
    <col min="1798" max="1798" width="9" style="2605"/>
    <col min="1799" max="1799" width="9.33203125" style="2605" bestFit="1" customWidth="1"/>
    <col min="1800" max="1801" width="9" style="2605"/>
    <col min="1802" max="1802" width="9.33203125" style="2605" bestFit="1" customWidth="1"/>
    <col min="1803" max="1803" width="4" style="2605" customWidth="1"/>
    <col min="1804" max="1804" width="5.1640625" style="2605" customWidth="1"/>
    <col min="1805" max="1805" width="13.6640625" style="2605" customWidth="1"/>
    <col min="1806" max="2048" width="9" style="2605"/>
    <col min="2049" max="2049" width="4.83203125" style="2605" customWidth="1"/>
    <col min="2050" max="2050" width="13.1640625" style="2605" customWidth="1"/>
    <col min="2051" max="2051" width="15.6640625" style="2605" customWidth="1"/>
    <col min="2052" max="2052" width="9.33203125" style="2605" bestFit="1" customWidth="1"/>
    <col min="2053" max="2053" width="13.5" style="2605" customWidth="1"/>
    <col min="2054" max="2054" width="9" style="2605"/>
    <col min="2055" max="2055" width="9.33203125" style="2605" bestFit="1" customWidth="1"/>
    <col min="2056" max="2057" width="9" style="2605"/>
    <col min="2058" max="2058" width="9.33203125" style="2605" bestFit="1" customWidth="1"/>
    <col min="2059" max="2059" width="4" style="2605" customWidth="1"/>
    <col min="2060" max="2060" width="5.1640625" style="2605" customWidth="1"/>
    <col min="2061" max="2061" width="13.6640625" style="2605" customWidth="1"/>
    <col min="2062" max="2304" width="9" style="2605"/>
    <col min="2305" max="2305" width="4.83203125" style="2605" customWidth="1"/>
    <col min="2306" max="2306" width="13.1640625" style="2605" customWidth="1"/>
    <col min="2307" max="2307" width="15.6640625" style="2605" customWidth="1"/>
    <col min="2308" max="2308" width="9.33203125" style="2605" bestFit="1" customWidth="1"/>
    <col min="2309" max="2309" width="13.5" style="2605" customWidth="1"/>
    <col min="2310" max="2310" width="9" style="2605"/>
    <col min="2311" max="2311" width="9.33203125" style="2605" bestFit="1" customWidth="1"/>
    <col min="2312" max="2313" width="9" style="2605"/>
    <col min="2314" max="2314" width="9.33203125" style="2605" bestFit="1" customWidth="1"/>
    <col min="2315" max="2315" width="4" style="2605" customWidth="1"/>
    <col min="2316" max="2316" width="5.1640625" style="2605" customWidth="1"/>
    <col min="2317" max="2317" width="13.6640625" style="2605" customWidth="1"/>
    <col min="2318" max="2560" width="9" style="2605"/>
    <col min="2561" max="2561" width="4.83203125" style="2605" customWidth="1"/>
    <col min="2562" max="2562" width="13.1640625" style="2605" customWidth="1"/>
    <col min="2563" max="2563" width="15.6640625" style="2605" customWidth="1"/>
    <col min="2564" max="2564" width="9.33203125" style="2605" bestFit="1" customWidth="1"/>
    <col min="2565" max="2565" width="13.5" style="2605" customWidth="1"/>
    <col min="2566" max="2566" width="9" style="2605"/>
    <col min="2567" max="2567" width="9.33203125" style="2605" bestFit="1" customWidth="1"/>
    <col min="2568" max="2569" width="9" style="2605"/>
    <col min="2570" max="2570" width="9.33203125" style="2605" bestFit="1" customWidth="1"/>
    <col min="2571" max="2571" width="4" style="2605" customWidth="1"/>
    <col min="2572" max="2572" width="5.1640625" style="2605" customWidth="1"/>
    <col min="2573" max="2573" width="13.6640625" style="2605" customWidth="1"/>
    <col min="2574" max="2816" width="9" style="2605"/>
    <col min="2817" max="2817" width="4.83203125" style="2605" customWidth="1"/>
    <col min="2818" max="2818" width="13.1640625" style="2605" customWidth="1"/>
    <col min="2819" max="2819" width="15.6640625" style="2605" customWidth="1"/>
    <col min="2820" max="2820" width="9.33203125" style="2605" bestFit="1" customWidth="1"/>
    <col min="2821" max="2821" width="13.5" style="2605" customWidth="1"/>
    <col min="2822" max="2822" width="9" style="2605"/>
    <col min="2823" max="2823" width="9.33203125" style="2605" bestFit="1" customWidth="1"/>
    <col min="2824" max="2825" width="9" style="2605"/>
    <col min="2826" max="2826" width="9.33203125" style="2605" bestFit="1" customWidth="1"/>
    <col min="2827" max="2827" width="4" style="2605" customWidth="1"/>
    <col min="2828" max="2828" width="5.1640625" style="2605" customWidth="1"/>
    <col min="2829" max="2829" width="13.6640625" style="2605" customWidth="1"/>
    <col min="2830" max="3072" width="9" style="2605"/>
    <col min="3073" max="3073" width="4.83203125" style="2605" customWidth="1"/>
    <col min="3074" max="3074" width="13.1640625" style="2605" customWidth="1"/>
    <col min="3075" max="3075" width="15.6640625" style="2605" customWidth="1"/>
    <col min="3076" max="3076" width="9.33203125" style="2605" bestFit="1" customWidth="1"/>
    <col min="3077" max="3077" width="13.5" style="2605" customWidth="1"/>
    <col min="3078" max="3078" width="9" style="2605"/>
    <col min="3079" max="3079" width="9.33203125" style="2605" bestFit="1" customWidth="1"/>
    <col min="3080" max="3081" width="9" style="2605"/>
    <col min="3082" max="3082" width="9.33203125" style="2605" bestFit="1" customWidth="1"/>
    <col min="3083" max="3083" width="4" style="2605" customWidth="1"/>
    <col min="3084" max="3084" width="5.1640625" style="2605" customWidth="1"/>
    <col min="3085" max="3085" width="13.6640625" style="2605" customWidth="1"/>
    <col min="3086" max="3328" width="9" style="2605"/>
    <col min="3329" max="3329" width="4.83203125" style="2605" customWidth="1"/>
    <col min="3330" max="3330" width="13.1640625" style="2605" customWidth="1"/>
    <col min="3331" max="3331" width="15.6640625" style="2605" customWidth="1"/>
    <col min="3332" max="3332" width="9.33203125" style="2605" bestFit="1" customWidth="1"/>
    <col min="3333" max="3333" width="13.5" style="2605" customWidth="1"/>
    <col min="3334" max="3334" width="9" style="2605"/>
    <col min="3335" max="3335" width="9.33203125" style="2605" bestFit="1" customWidth="1"/>
    <col min="3336" max="3337" width="9" style="2605"/>
    <col min="3338" max="3338" width="9.33203125" style="2605" bestFit="1" customWidth="1"/>
    <col min="3339" max="3339" width="4" style="2605" customWidth="1"/>
    <col min="3340" max="3340" width="5.1640625" style="2605" customWidth="1"/>
    <col min="3341" max="3341" width="13.6640625" style="2605" customWidth="1"/>
    <col min="3342" max="3584" width="9" style="2605"/>
    <col min="3585" max="3585" width="4.83203125" style="2605" customWidth="1"/>
    <col min="3586" max="3586" width="13.1640625" style="2605" customWidth="1"/>
    <col min="3587" max="3587" width="15.6640625" style="2605" customWidth="1"/>
    <col min="3588" max="3588" width="9.33203125" style="2605" bestFit="1" customWidth="1"/>
    <col min="3589" max="3589" width="13.5" style="2605" customWidth="1"/>
    <col min="3590" max="3590" width="9" style="2605"/>
    <col min="3591" max="3591" width="9.33203125" style="2605" bestFit="1" customWidth="1"/>
    <col min="3592" max="3593" width="9" style="2605"/>
    <col min="3594" max="3594" width="9.33203125" style="2605" bestFit="1" customWidth="1"/>
    <col min="3595" max="3595" width="4" style="2605" customWidth="1"/>
    <col min="3596" max="3596" width="5.1640625" style="2605" customWidth="1"/>
    <col min="3597" max="3597" width="13.6640625" style="2605" customWidth="1"/>
    <col min="3598" max="3840" width="9" style="2605"/>
    <col min="3841" max="3841" width="4.83203125" style="2605" customWidth="1"/>
    <col min="3842" max="3842" width="13.1640625" style="2605" customWidth="1"/>
    <col min="3843" max="3843" width="15.6640625" style="2605" customWidth="1"/>
    <col min="3844" max="3844" width="9.33203125" style="2605" bestFit="1" customWidth="1"/>
    <col min="3845" max="3845" width="13.5" style="2605" customWidth="1"/>
    <col min="3846" max="3846" width="9" style="2605"/>
    <col min="3847" max="3847" width="9.33203125" style="2605" bestFit="1" customWidth="1"/>
    <col min="3848" max="3849" width="9" style="2605"/>
    <col min="3850" max="3850" width="9.33203125" style="2605" bestFit="1" customWidth="1"/>
    <col min="3851" max="3851" width="4" style="2605" customWidth="1"/>
    <col min="3852" max="3852" width="5.1640625" style="2605" customWidth="1"/>
    <col min="3853" max="3853" width="13.6640625" style="2605" customWidth="1"/>
    <col min="3854" max="4096" width="9" style="2605"/>
    <col min="4097" max="4097" width="4.83203125" style="2605" customWidth="1"/>
    <col min="4098" max="4098" width="13.1640625" style="2605" customWidth="1"/>
    <col min="4099" max="4099" width="15.6640625" style="2605" customWidth="1"/>
    <col min="4100" max="4100" width="9.33203125" style="2605" bestFit="1" customWidth="1"/>
    <col min="4101" max="4101" width="13.5" style="2605" customWidth="1"/>
    <col min="4102" max="4102" width="9" style="2605"/>
    <col min="4103" max="4103" width="9.33203125" style="2605" bestFit="1" customWidth="1"/>
    <col min="4104" max="4105" width="9" style="2605"/>
    <col min="4106" max="4106" width="9.33203125" style="2605" bestFit="1" customWidth="1"/>
    <col min="4107" max="4107" width="4" style="2605" customWidth="1"/>
    <col min="4108" max="4108" width="5.1640625" style="2605" customWidth="1"/>
    <col min="4109" max="4109" width="13.6640625" style="2605" customWidth="1"/>
    <col min="4110" max="4352" width="9" style="2605"/>
    <col min="4353" max="4353" width="4.83203125" style="2605" customWidth="1"/>
    <col min="4354" max="4354" width="13.1640625" style="2605" customWidth="1"/>
    <col min="4355" max="4355" width="15.6640625" style="2605" customWidth="1"/>
    <col min="4356" max="4356" width="9.33203125" style="2605" bestFit="1" customWidth="1"/>
    <col min="4357" max="4357" width="13.5" style="2605" customWidth="1"/>
    <col min="4358" max="4358" width="9" style="2605"/>
    <col min="4359" max="4359" width="9.33203125" style="2605" bestFit="1" customWidth="1"/>
    <col min="4360" max="4361" width="9" style="2605"/>
    <col min="4362" max="4362" width="9.33203125" style="2605" bestFit="1" customWidth="1"/>
    <col min="4363" max="4363" width="4" style="2605" customWidth="1"/>
    <col min="4364" max="4364" width="5.1640625" style="2605" customWidth="1"/>
    <col min="4365" max="4365" width="13.6640625" style="2605" customWidth="1"/>
    <col min="4366" max="4608" width="9" style="2605"/>
    <col min="4609" max="4609" width="4.83203125" style="2605" customWidth="1"/>
    <col min="4610" max="4610" width="13.1640625" style="2605" customWidth="1"/>
    <col min="4611" max="4611" width="15.6640625" style="2605" customWidth="1"/>
    <col min="4612" max="4612" width="9.33203125" style="2605" bestFit="1" customWidth="1"/>
    <col min="4613" max="4613" width="13.5" style="2605" customWidth="1"/>
    <col min="4614" max="4614" width="9" style="2605"/>
    <col min="4615" max="4615" width="9.33203125" style="2605" bestFit="1" customWidth="1"/>
    <col min="4616" max="4617" width="9" style="2605"/>
    <col min="4618" max="4618" width="9.33203125" style="2605" bestFit="1" customWidth="1"/>
    <col min="4619" max="4619" width="4" style="2605" customWidth="1"/>
    <col min="4620" max="4620" width="5.1640625" style="2605" customWidth="1"/>
    <col min="4621" max="4621" width="13.6640625" style="2605" customWidth="1"/>
    <col min="4622" max="4864" width="9" style="2605"/>
    <col min="4865" max="4865" width="4.83203125" style="2605" customWidth="1"/>
    <col min="4866" max="4866" width="13.1640625" style="2605" customWidth="1"/>
    <col min="4867" max="4867" width="15.6640625" style="2605" customWidth="1"/>
    <col min="4868" max="4868" width="9.33203125" style="2605" bestFit="1" customWidth="1"/>
    <col min="4869" max="4869" width="13.5" style="2605" customWidth="1"/>
    <col min="4870" max="4870" width="9" style="2605"/>
    <col min="4871" max="4871" width="9.33203125" style="2605" bestFit="1" customWidth="1"/>
    <col min="4872" max="4873" width="9" style="2605"/>
    <col min="4874" max="4874" width="9.33203125" style="2605" bestFit="1" customWidth="1"/>
    <col min="4875" max="4875" width="4" style="2605" customWidth="1"/>
    <col min="4876" max="4876" width="5.1640625" style="2605" customWidth="1"/>
    <col min="4877" max="4877" width="13.6640625" style="2605" customWidth="1"/>
    <col min="4878" max="5120" width="9" style="2605"/>
    <col min="5121" max="5121" width="4.83203125" style="2605" customWidth="1"/>
    <col min="5122" max="5122" width="13.1640625" style="2605" customWidth="1"/>
    <col min="5123" max="5123" width="15.6640625" style="2605" customWidth="1"/>
    <col min="5124" max="5124" width="9.33203125" style="2605" bestFit="1" customWidth="1"/>
    <col min="5125" max="5125" width="13.5" style="2605" customWidth="1"/>
    <col min="5126" max="5126" width="9" style="2605"/>
    <col min="5127" max="5127" width="9.33203125" style="2605" bestFit="1" customWidth="1"/>
    <col min="5128" max="5129" width="9" style="2605"/>
    <col min="5130" max="5130" width="9.33203125" style="2605" bestFit="1" customWidth="1"/>
    <col min="5131" max="5131" width="4" style="2605" customWidth="1"/>
    <col min="5132" max="5132" width="5.1640625" style="2605" customWidth="1"/>
    <col min="5133" max="5133" width="13.6640625" style="2605" customWidth="1"/>
    <col min="5134" max="5376" width="9" style="2605"/>
    <col min="5377" max="5377" width="4.83203125" style="2605" customWidth="1"/>
    <col min="5378" max="5378" width="13.1640625" style="2605" customWidth="1"/>
    <col min="5379" max="5379" width="15.6640625" style="2605" customWidth="1"/>
    <col min="5380" max="5380" width="9.33203125" style="2605" bestFit="1" customWidth="1"/>
    <col min="5381" max="5381" width="13.5" style="2605" customWidth="1"/>
    <col min="5382" max="5382" width="9" style="2605"/>
    <col min="5383" max="5383" width="9.33203125" style="2605" bestFit="1" customWidth="1"/>
    <col min="5384" max="5385" width="9" style="2605"/>
    <col min="5386" max="5386" width="9.33203125" style="2605" bestFit="1" customWidth="1"/>
    <col min="5387" max="5387" width="4" style="2605" customWidth="1"/>
    <col min="5388" max="5388" width="5.1640625" style="2605" customWidth="1"/>
    <col min="5389" max="5389" width="13.6640625" style="2605" customWidth="1"/>
    <col min="5390" max="5632" width="9" style="2605"/>
    <col min="5633" max="5633" width="4.83203125" style="2605" customWidth="1"/>
    <col min="5634" max="5634" width="13.1640625" style="2605" customWidth="1"/>
    <col min="5635" max="5635" width="15.6640625" style="2605" customWidth="1"/>
    <col min="5636" max="5636" width="9.33203125" style="2605" bestFit="1" customWidth="1"/>
    <col min="5637" max="5637" width="13.5" style="2605" customWidth="1"/>
    <col min="5638" max="5638" width="9" style="2605"/>
    <col min="5639" max="5639" width="9.33203125" style="2605" bestFit="1" customWidth="1"/>
    <col min="5640" max="5641" width="9" style="2605"/>
    <col min="5642" max="5642" width="9.33203125" style="2605" bestFit="1" customWidth="1"/>
    <col min="5643" max="5643" width="4" style="2605" customWidth="1"/>
    <col min="5644" max="5644" width="5.1640625" style="2605" customWidth="1"/>
    <col min="5645" max="5645" width="13.6640625" style="2605" customWidth="1"/>
    <col min="5646" max="5888" width="9" style="2605"/>
    <col min="5889" max="5889" width="4.83203125" style="2605" customWidth="1"/>
    <col min="5890" max="5890" width="13.1640625" style="2605" customWidth="1"/>
    <col min="5891" max="5891" width="15.6640625" style="2605" customWidth="1"/>
    <col min="5892" max="5892" width="9.33203125" style="2605" bestFit="1" customWidth="1"/>
    <col min="5893" max="5893" width="13.5" style="2605" customWidth="1"/>
    <col min="5894" max="5894" width="9" style="2605"/>
    <col min="5895" max="5895" width="9.33203125" style="2605" bestFit="1" customWidth="1"/>
    <col min="5896" max="5897" width="9" style="2605"/>
    <col min="5898" max="5898" width="9.33203125" style="2605" bestFit="1" customWidth="1"/>
    <col min="5899" max="5899" width="4" style="2605" customWidth="1"/>
    <col min="5900" max="5900" width="5.1640625" style="2605" customWidth="1"/>
    <col min="5901" max="5901" width="13.6640625" style="2605" customWidth="1"/>
    <col min="5902" max="6144" width="9" style="2605"/>
    <col min="6145" max="6145" width="4.83203125" style="2605" customWidth="1"/>
    <col min="6146" max="6146" width="13.1640625" style="2605" customWidth="1"/>
    <col min="6147" max="6147" width="15.6640625" style="2605" customWidth="1"/>
    <col min="6148" max="6148" width="9.33203125" style="2605" bestFit="1" customWidth="1"/>
    <col min="6149" max="6149" width="13.5" style="2605" customWidth="1"/>
    <col min="6150" max="6150" width="9" style="2605"/>
    <col min="6151" max="6151" width="9.33203125" style="2605" bestFit="1" customWidth="1"/>
    <col min="6152" max="6153" width="9" style="2605"/>
    <col min="6154" max="6154" width="9.33203125" style="2605" bestFit="1" customWidth="1"/>
    <col min="6155" max="6155" width="4" style="2605" customWidth="1"/>
    <col min="6156" max="6156" width="5.1640625" style="2605" customWidth="1"/>
    <col min="6157" max="6157" width="13.6640625" style="2605" customWidth="1"/>
    <col min="6158" max="6400" width="9" style="2605"/>
    <col min="6401" max="6401" width="4.83203125" style="2605" customWidth="1"/>
    <col min="6402" max="6402" width="13.1640625" style="2605" customWidth="1"/>
    <col min="6403" max="6403" width="15.6640625" style="2605" customWidth="1"/>
    <col min="6404" max="6404" width="9.33203125" style="2605" bestFit="1" customWidth="1"/>
    <col min="6405" max="6405" width="13.5" style="2605" customWidth="1"/>
    <col min="6406" max="6406" width="9" style="2605"/>
    <col min="6407" max="6407" width="9.33203125" style="2605" bestFit="1" customWidth="1"/>
    <col min="6408" max="6409" width="9" style="2605"/>
    <col min="6410" max="6410" width="9.33203125" style="2605" bestFit="1" customWidth="1"/>
    <col min="6411" max="6411" width="4" style="2605" customWidth="1"/>
    <col min="6412" max="6412" width="5.1640625" style="2605" customWidth="1"/>
    <col min="6413" max="6413" width="13.6640625" style="2605" customWidth="1"/>
    <col min="6414" max="6656" width="9" style="2605"/>
    <col min="6657" max="6657" width="4.83203125" style="2605" customWidth="1"/>
    <col min="6658" max="6658" width="13.1640625" style="2605" customWidth="1"/>
    <col min="6659" max="6659" width="15.6640625" style="2605" customWidth="1"/>
    <col min="6660" max="6660" width="9.33203125" style="2605" bestFit="1" customWidth="1"/>
    <col min="6661" max="6661" width="13.5" style="2605" customWidth="1"/>
    <col min="6662" max="6662" width="9" style="2605"/>
    <col min="6663" max="6663" width="9.33203125" style="2605" bestFit="1" customWidth="1"/>
    <col min="6664" max="6665" width="9" style="2605"/>
    <col min="6666" max="6666" width="9.33203125" style="2605" bestFit="1" customWidth="1"/>
    <col min="6667" max="6667" width="4" style="2605" customWidth="1"/>
    <col min="6668" max="6668" width="5.1640625" style="2605" customWidth="1"/>
    <col min="6669" max="6669" width="13.6640625" style="2605" customWidth="1"/>
    <col min="6670" max="6912" width="9" style="2605"/>
    <col min="6913" max="6913" width="4.83203125" style="2605" customWidth="1"/>
    <col min="6914" max="6914" width="13.1640625" style="2605" customWidth="1"/>
    <col min="6915" max="6915" width="15.6640625" style="2605" customWidth="1"/>
    <col min="6916" max="6916" width="9.33203125" style="2605" bestFit="1" customWidth="1"/>
    <col min="6917" max="6917" width="13.5" style="2605" customWidth="1"/>
    <col min="6918" max="6918" width="9" style="2605"/>
    <col min="6919" max="6919" width="9.33203125" style="2605" bestFit="1" customWidth="1"/>
    <col min="6920" max="6921" width="9" style="2605"/>
    <col min="6922" max="6922" width="9.33203125" style="2605" bestFit="1" customWidth="1"/>
    <col min="6923" max="6923" width="4" style="2605" customWidth="1"/>
    <col min="6924" max="6924" width="5.1640625" style="2605" customWidth="1"/>
    <col min="6925" max="6925" width="13.6640625" style="2605" customWidth="1"/>
    <col min="6926" max="7168" width="9" style="2605"/>
    <col min="7169" max="7169" width="4.83203125" style="2605" customWidth="1"/>
    <col min="7170" max="7170" width="13.1640625" style="2605" customWidth="1"/>
    <col min="7171" max="7171" width="15.6640625" style="2605" customWidth="1"/>
    <col min="7172" max="7172" width="9.33203125" style="2605" bestFit="1" customWidth="1"/>
    <col min="7173" max="7173" width="13.5" style="2605" customWidth="1"/>
    <col min="7174" max="7174" width="9" style="2605"/>
    <col min="7175" max="7175" width="9.33203125" style="2605" bestFit="1" customWidth="1"/>
    <col min="7176" max="7177" width="9" style="2605"/>
    <col min="7178" max="7178" width="9.33203125" style="2605" bestFit="1" customWidth="1"/>
    <col min="7179" max="7179" width="4" style="2605" customWidth="1"/>
    <col min="7180" max="7180" width="5.1640625" style="2605" customWidth="1"/>
    <col min="7181" max="7181" width="13.6640625" style="2605" customWidth="1"/>
    <col min="7182" max="7424" width="9" style="2605"/>
    <col min="7425" max="7425" width="4.83203125" style="2605" customWidth="1"/>
    <col min="7426" max="7426" width="13.1640625" style="2605" customWidth="1"/>
    <col min="7427" max="7427" width="15.6640625" style="2605" customWidth="1"/>
    <col min="7428" max="7428" width="9.33203125" style="2605" bestFit="1" customWidth="1"/>
    <col min="7429" max="7429" width="13.5" style="2605" customWidth="1"/>
    <col min="7430" max="7430" width="9" style="2605"/>
    <col min="7431" max="7431" width="9.33203125" style="2605" bestFit="1" customWidth="1"/>
    <col min="7432" max="7433" width="9" style="2605"/>
    <col min="7434" max="7434" width="9.33203125" style="2605" bestFit="1" customWidth="1"/>
    <col min="7435" max="7435" width="4" style="2605" customWidth="1"/>
    <col min="7436" max="7436" width="5.1640625" style="2605" customWidth="1"/>
    <col min="7437" max="7437" width="13.6640625" style="2605" customWidth="1"/>
    <col min="7438" max="7680" width="9" style="2605"/>
    <col min="7681" max="7681" width="4.83203125" style="2605" customWidth="1"/>
    <col min="7682" max="7682" width="13.1640625" style="2605" customWidth="1"/>
    <col min="7683" max="7683" width="15.6640625" style="2605" customWidth="1"/>
    <col min="7684" max="7684" width="9.33203125" style="2605" bestFit="1" customWidth="1"/>
    <col min="7685" max="7685" width="13.5" style="2605" customWidth="1"/>
    <col min="7686" max="7686" width="9" style="2605"/>
    <col min="7687" max="7687" width="9.33203125" style="2605" bestFit="1" customWidth="1"/>
    <col min="7688" max="7689" width="9" style="2605"/>
    <col min="7690" max="7690" width="9.33203125" style="2605" bestFit="1" customWidth="1"/>
    <col min="7691" max="7691" width="4" style="2605" customWidth="1"/>
    <col min="7692" max="7692" width="5.1640625" style="2605" customWidth="1"/>
    <col min="7693" max="7693" width="13.6640625" style="2605" customWidth="1"/>
    <col min="7694" max="7936" width="9" style="2605"/>
    <col min="7937" max="7937" width="4.83203125" style="2605" customWidth="1"/>
    <col min="7938" max="7938" width="13.1640625" style="2605" customWidth="1"/>
    <col min="7939" max="7939" width="15.6640625" style="2605" customWidth="1"/>
    <col min="7940" max="7940" width="9.33203125" style="2605" bestFit="1" customWidth="1"/>
    <col min="7941" max="7941" width="13.5" style="2605" customWidth="1"/>
    <col min="7942" max="7942" width="9" style="2605"/>
    <col min="7943" max="7943" width="9.33203125" style="2605" bestFit="1" customWidth="1"/>
    <col min="7944" max="7945" width="9" style="2605"/>
    <col min="7946" max="7946" width="9.33203125" style="2605" bestFit="1" customWidth="1"/>
    <col min="7947" max="7947" width="4" style="2605" customWidth="1"/>
    <col min="7948" max="7948" width="5.1640625" style="2605" customWidth="1"/>
    <col min="7949" max="7949" width="13.6640625" style="2605" customWidth="1"/>
    <col min="7950" max="8192" width="9" style="2605"/>
    <col min="8193" max="8193" width="4.83203125" style="2605" customWidth="1"/>
    <col min="8194" max="8194" width="13.1640625" style="2605" customWidth="1"/>
    <col min="8195" max="8195" width="15.6640625" style="2605" customWidth="1"/>
    <col min="8196" max="8196" width="9.33203125" style="2605" bestFit="1" customWidth="1"/>
    <col min="8197" max="8197" width="13.5" style="2605" customWidth="1"/>
    <col min="8198" max="8198" width="9" style="2605"/>
    <col min="8199" max="8199" width="9.33203125" style="2605" bestFit="1" customWidth="1"/>
    <col min="8200" max="8201" width="9" style="2605"/>
    <col min="8202" max="8202" width="9.33203125" style="2605" bestFit="1" customWidth="1"/>
    <col min="8203" max="8203" width="4" style="2605" customWidth="1"/>
    <col min="8204" max="8204" width="5.1640625" style="2605" customWidth="1"/>
    <col min="8205" max="8205" width="13.6640625" style="2605" customWidth="1"/>
    <col min="8206" max="8448" width="9" style="2605"/>
    <col min="8449" max="8449" width="4.83203125" style="2605" customWidth="1"/>
    <col min="8450" max="8450" width="13.1640625" style="2605" customWidth="1"/>
    <col min="8451" max="8451" width="15.6640625" style="2605" customWidth="1"/>
    <col min="8452" max="8452" width="9.33203125" style="2605" bestFit="1" customWidth="1"/>
    <col min="8453" max="8453" width="13.5" style="2605" customWidth="1"/>
    <col min="8454" max="8454" width="9" style="2605"/>
    <col min="8455" max="8455" width="9.33203125" style="2605" bestFit="1" customWidth="1"/>
    <col min="8456" max="8457" width="9" style="2605"/>
    <col min="8458" max="8458" width="9.33203125" style="2605" bestFit="1" customWidth="1"/>
    <col min="8459" max="8459" width="4" style="2605" customWidth="1"/>
    <col min="8460" max="8460" width="5.1640625" style="2605" customWidth="1"/>
    <col min="8461" max="8461" width="13.6640625" style="2605" customWidth="1"/>
    <col min="8462" max="8704" width="9" style="2605"/>
    <col min="8705" max="8705" width="4.83203125" style="2605" customWidth="1"/>
    <col min="8706" max="8706" width="13.1640625" style="2605" customWidth="1"/>
    <col min="8707" max="8707" width="15.6640625" style="2605" customWidth="1"/>
    <col min="8708" max="8708" width="9.33203125" style="2605" bestFit="1" customWidth="1"/>
    <col min="8709" max="8709" width="13.5" style="2605" customWidth="1"/>
    <col min="8710" max="8710" width="9" style="2605"/>
    <col min="8711" max="8711" width="9.33203125" style="2605" bestFit="1" customWidth="1"/>
    <col min="8712" max="8713" width="9" style="2605"/>
    <col min="8714" max="8714" width="9.33203125" style="2605" bestFit="1" customWidth="1"/>
    <col min="8715" max="8715" width="4" style="2605" customWidth="1"/>
    <col min="8716" max="8716" width="5.1640625" style="2605" customWidth="1"/>
    <col min="8717" max="8717" width="13.6640625" style="2605" customWidth="1"/>
    <col min="8718" max="8960" width="9" style="2605"/>
    <col min="8961" max="8961" width="4.83203125" style="2605" customWidth="1"/>
    <col min="8962" max="8962" width="13.1640625" style="2605" customWidth="1"/>
    <col min="8963" max="8963" width="15.6640625" style="2605" customWidth="1"/>
    <col min="8964" max="8964" width="9.33203125" style="2605" bestFit="1" customWidth="1"/>
    <col min="8965" max="8965" width="13.5" style="2605" customWidth="1"/>
    <col min="8966" max="8966" width="9" style="2605"/>
    <col min="8967" max="8967" width="9.33203125" style="2605" bestFit="1" customWidth="1"/>
    <col min="8968" max="8969" width="9" style="2605"/>
    <col min="8970" max="8970" width="9.33203125" style="2605" bestFit="1" customWidth="1"/>
    <col min="8971" max="8971" width="4" style="2605" customWidth="1"/>
    <col min="8972" max="8972" width="5.1640625" style="2605" customWidth="1"/>
    <col min="8973" max="8973" width="13.6640625" style="2605" customWidth="1"/>
    <col min="8974" max="9216" width="9" style="2605"/>
    <col min="9217" max="9217" width="4.83203125" style="2605" customWidth="1"/>
    <col min="9218" max="9218" width="13.1640625" style="2605" customWidth="1"/>
    <col min="9219" max="9219" width="15.6640625" style="2605" customWidth="1"/>
    <col min="9220" max="9220" width="9.33203125" style="2605" bestFit="1" customWidth="1"/>
    <col min="9221" max="9221" width="13.5" style="2605" customWidth="1"/>
    <col min="9222" max="9222" width="9" style="2605"/>
    <col min="9223" max="9223" width="9.33203125" style="2605" bestFit="1" customWidth="1"/>
    <col min="9224" max="9225" width="9" style="2605"/>
    <col min="9226" max="9226" width="9.33203125" style="2605" bestFit="1" customWidth="1"/>
    <col min="9227" max="9227" width="4" style="2605" customWidth="1"/>
    <col min="9228" max="9228" width="5.1640625" style="2605" customWidth="1"/>
    <col min="9229" max="9229" width="13.6640625" style="2605" customWidth="1"/>
    <col min="9230" max="9472" width="9" style="2605"/>
    <col min="9473" max="9473" width="4.83203125" style="2605" customWidth="1"/>
    <col min="9474" max="9474" width="13.1640625" style="2605" customWidth="1"/>
    <col min="9475" max="9475" width="15.6640625" style="2605" customWidth="1"/>
    <col min="9476" max="9476" width="9.33203125" style="2605" bestFit="1" customWidth="1"/>
    <col min="9477" max="9477" width="13.5" style="2605" customWidth="1"/>
    <col min="9478" max="9478" width="9" style="2605"/>
    <col min="9479" max="9479" width="9.33203125" style="2605" bestFit="1" customWidth="1"/>
    <col min="9480" max="9481" width="9" style="2605"/>
    <col min="9482" max="9482" width="9.33203125" style="2605" bestFit="1" customWidth="1"/>
    <col min="9483" max="9483" width="4" style="2605" customWidth="1"/>
    <col min="9484" max="9484" width="5.1640625" style="2605" customWidth="1"/>
    <col min="9485" max="9485" width="13.6640625" style="2605" customWidth="1"/>
    <col min="9486" max="9728" width="9" style="2605"/>
    <col min="9729" max="9729" width="4.83203125" style="2605" customWidth="1"/>
    <col min="9730" max="9730" width="13.1640625" style="2605" customWidth="1"/>
    <col min="9731" max="9731" width="15.6640625" style="2605" customWidth="1"/>
    <col min="9732" max="9732" width="9.33203125" style="2605" bestFit="1" customWidth="1"/>
    <col min="9733" max="9733" width="13.5" style="2605" customWidth="1"/>
    <col min="9734" max="9734" width="9" style="2605"/>
    <col min="9735" max="9735" width="9.33203125" style="2605" bestFit="1" customWidth="1"/>
    <col min="9736" max="9737" width="9" style="2605"/>
    <col min="9738" max="9738" width="9.33203125" style="2605" bestFit="1" customWidth="1"/>
    <col min="9739" max="9739" width="4" style="2605" customWidth="1"/>
    <col min="9740" max="9740" width="5.1640625" style="2605" customWidth="1"/>
    <col min="9741" max="9741" width="13.6640625" style="2605" customWidth="1"/>
    <col min="9742" max="9984" width="9" style="2605"/>
    <col min="9985" max="9985" width="4.83203125" style="2605" customWidth="1"/>
    <col min="9986" max="9986" width="13.1640625" style="2605" customWidth="1"/>
    <col min="9987" max="9987" width="15.6640625" style="2605" customWidth="1"/>
    <col min="9988" max="9988" width="9.33203125" style="2605" bestFit="1" customWidth="1"/>
    <col min="9989" max="9989" width="13.5" style="2605" customWidth="1"/>
    <col min="9990" max="9990" width="9" style="2605"/>
    <col min="9991" max="9991" width="9.33203125" style="2605" bestFit="1" customWidth="1"/>
    <col min="9992" max="9993" width="9" style="2605"/>
    <col min="9994" max="9994" width="9.33203125" style="2605" bestFit="1" customWidth="1"/>
    <col min="9995" max="9995" width="4" style="2605" customWidth="1"/>
    <col min="9996" max="9996" width="5.1640625" style="2605" customWidth="1"/>
    <col min="9997" max="9997" width="13.6640625" style="2605" customWidth="1"/>
    <col min="9998" max="10240" width="9" style="2605"/>
    <col min="10241" max="10241" width="4.83203125" style="2605" customWidth="1"/>
    <col min="10242" max="10242" width="13.1640625" style="2605" customWidth="1"/>
    <col min="10243" max="10243" width="15.6640625" style="2605" customWidth="1"/>
    <col min="10244" max="10244" width="9.33203125" style="2605" bestFit="1" customWidth="1"/>
    <col min="10245" max="10245" width="13.5" style="2605" customWidth="1"/>
    <col min="10246" max="10246" width="9" style="2605"/>
    <col min="10247" max="10247" width="9.33203125" style="2605" bestFit="1" customWidth="1"/>
    <col min="10248" max="10249" width="9" style="2605"/>
    <col min="10250" max="10250" width="9.33203125" style="2605" bestFit="1" customWidth="1"/>
    <col min="10251" max="10251" width="4" style="2605" customWidth="1"/>
    <col min="10252" max="10252" width="5.1640625" style="2605" customWidth="1"/>
    <col min="10253" max="10253" width="13.6640625" style="2605" customWidth="1"/>
    <col min="10254" max="10496" width="9" style="2605"/>
    <col min="10497" max="10497" width="4.83203125" style="2605" customWidth="1"/>
    <col min="10498" max="10498" width="13.1640625" style="2605" customWidth="1"/>
    <col min="10499" max="10499" width="15.6640625" style="2605" customWidth="1"/>
    <col min="10500" max="10500" width="9.33203125" style="2605" bestFit="1" customWidth="1"/>
    <col min="10501" max="10501" width="13.5" style="2605" customWidth="1"/>
    <col min="10502" max="10502" width="9" style="2605"/>
    <col min="10503" max="10503" width="9.33203125" style="2605" bestFit="1" customWidth="1"/>
    <col min="10504" max="10505" width="9" style="2605"/>
    <col min="10506" max="10506" width="9.33203125" style="2605" bestFit="1" customWidth="1"/>
    <col min="10507" max="10507" width="4" style="2605" customWidth="1"/>
    <col min="10508" max="10508" width="5.1640625" style="2605" customWidth="1"/>
    <col min="10509" max="10509" width="13.6640625" style="2605" customWidth="1"/>
    <col min="10510" max="10752" width="9" style="2605"/>
    <col min="10753" max="10753" width="4.83203125" style="2605" customWidth="1"/>
    <col min="10754" max="10754" width="13.1640625" style="2605" customWidth="1"/>
    <col min="10755" max="10755" width="15.6640625" style="2605" customWidth="1"/>
    <col min="10756" max="10756" width="9.33203125" style="2605" bestFit="1" customWidth="1"/>
    <col min="10757" max="10757" width="13.5" style="2605" customWidth="1"/>
    <col min="10758" max="10758" width="9" style="2605"/>
    <col min="10759" max="10759" width="9.33203125" style="2605" bestFit="1" customWidth="1"/>
    <col min="10760" max="10761" width="9" style="2605"/>
    <col min="10762" max="10762" width="9.33203125" style="2605" bestFit="1" customWidth="1"/>
    <col min="10763" max="10763" width="4" style="2605" customWidth="1"/>
    <col min="10764" max="10764" width="5.1640625" style="2605" customWidth="1"/>
    <col min="10765" max="10765" width="13.6640625" style="2605" customWidth="1"/>
    <col min="10766" max="11008" width="9" style="2605"/>
    <col min="11009" max="11009" width="4.83203125" style="2605" customWidth="1"/>
    <col min="11010" max="11010" width="13.1640625" style="2605" customWidth="1"/>
    <col min="11011" max="11011" width="15.6640625" style="2605" customWidth="1"/>
    <col min="11012" max="11012" width="9.33203125" style="2605" bestFit="1" customWidth="1"/>
    <col min="11013" max="11013" width="13.5" style="2605" customWidth="1"/>
    <col min="11014" max="11014" width="9" style="2605"/>
    <col min="11015" max="11015" width="9.33203125" style="2605" bestFit="1" customWidth="1"/>
    <col min="11016" max="11017" width="9" style="2605"/>
    <col min="11018" max="11018" width="9.33203125" style="2605" bestFit="1" customWidth="1"/>
    <col min="11019" max="11019" width="4" style="2605" customWidth="1"/>
    <col min="11020" max="11020" width="5.1640625" style="2605" customWidth="1"/>
    <col min="11021" max="11021" width="13.6640625" style="2605" customWidth="1"/>
    <col min="11022" max="11264" width="9" style="2605"/>
    <col min="11265" max="11265" width="4.83203125" style="2605" customWidth="1"/>
    <col min="11266" max="11266" width="13.1640625" style="2605" customWidth="1"/>
    <col min="11267" max="11267" width="15.6640625" style="2605" customWidth="1"/>
    <col min="11268" max="11268" width="9.33203125" style="2605" bestFit="1" customWidth="1"/>
    <col min="11269" max="11269" width="13.5" style="2605" customWidth="1"/>
    <col min="11270" max="11270" width="9" style="2605"/>
    <col min="11271" max="11271" width="9.33203125" style="2605" bestFit="1" customWidth="1"/>
    <col min="11272" max="11273" width="9" style="2605"/>
    <col min="11274" max="11274" width="9.33203125" style="2605" bestFit="1" customWidth="1"/>
    <col min="11275" max="11275" width="4" style="2605" customWidth="1"/>
    <col min="11276" max="11276" width="5.1640625" style="2605" customWidth="1"/>
    <col min="11277" max="11277" width="13.6640625" style="2605" customWidth="1"/>
    <col min="11278" max="11520" width="9" style="2605"/>
    <col min="11521" max="11521" width="4.83203125" style="2605" customWidth="1"/>
    <col min="11522" max="11522" width="13.1640625" style="2605" customWidth="1"/>
    <col min="11523" max="11523" width="15.6640625" style="2605" customWidth="1"/>
    <col min="11524" max="11524" width="9.33203125" style="2605" bestFit="1" customWidth="1"/>
    <col min="11525" max="11525" width="13.5" style="2605" customWidth="1"/>
    <col min="11526" max="11526" width="9" style="2605"/>
    <col min="11527" max="11527" width="9.33203125" style="2605" bestFit="1" customWidth="1"/>
    <col min="11528" max="11529" width="9" style="2605"/>
    <col min="11530" max="11530" width="9.33203125" style="2605" bestFit="1" customWidth="1"/>
    <col min="11531" max="11531" width="4" style="2605" customWidth="1"/>
    <col min="11532" max="11532" width="5.1640625" style="2605" customWidth="1"/>
    <col min="11533" max="11533" width="13.6640625" style="2605" customWidth="1"/>
    <col min="11534" max="11776" width="9" style="2605"/>
    <col min="11777" max="11777" width="4.83203125" style="2605" customWidth="1"/>
    <col min="11778" max="11778" width="13.1640625" style="2605" customWidth="1"/>
    <col min="11779" max="11779" width="15.6640625" style="2605" customWidth="1"/>
    <col min="11780" max="11780" width="9.33203125" style="2605" bestFit="1" customWidth="1"/>
    <col min="11781" max="11781" width="13.5" style="2605" customWidth="1"/>
    <col min="11782" max="11782" width="9" style="2605"/>
    <col min="11783" max="11783" width="9.33203125" style="2605" bestFit="1" customWidth="1"/>
    <col min="11784" max="11785" width="9" style="2605"/>
    <col min="11786" max="11786" width="9.33203125" style="2605" bestFit="1" customWidth="1"/>
    <col min="11787" max="11787" width="4" style="2605" customWidth="1"/>
    <col min="11788" max="11788" width="5.1640625" style="2605" customWidth="1"/>
    <col min="11789" max="11789" width="13.6640625" style="2605" customWidth="1"/>
    <col min="11790" max="12032" width="9" style="2605"/>
    <col min="12033" max="12033" width="4.83203125" style="2605" customWidth="1"/>
    <col min="12034" max="12034" width="13.1640625" style="2605" customWidth="1"/>
    <col min="12035" max="12035" width="15.6640625" style="2605" customWidth="1"/>
    <col min="12036" max="12036" width="9.33203125" style="2605" bestFit="1" customWidth="1"/>
    <col min="12037" max="12037" width="13.5" style="2605" customWidth="1"/>
    <col min="12038" max="12038" width="9" style="2605"/>
    <col min="12039" max="12039" width="9.33203125" style="2605" bestFit="1" customWidth="1"/>
    <col min="12040" max="12041" width="9" style="2605"/>
    <col min="12042" max="12042" width="9.33203125" style="2605" bestFit="1" customWidth="1"/>
    <col min="12043" max="12043" width="4" style="2605" customWidth="1"/>
    <col min="12044" max="12044" width="5.1640625" style="2605" customWidth="1"/>
    <col min="12045" max="12045" width="13.6640625" style="2605" customWidth="1"/>
    <col min="12046" max="12288" width="9" style="2605"/>
    <col min="12289" max="12289" width="4.83203125" style="2605" customWidth="1"/>
    <col min="12290" max="12290" width="13.1640625" style="2605" customWidth="1"/>
    <col min="12291" max="12291" width="15.6640625" style="2605" customWidth="1"/>
    <col min="12292" max="12292" width="9.33203125" style="2605" bestFit="1" customWidth="1"/>
    <col min="12293" max="12293" width="13.5" style="2605" customWidth="1"/>
    <col min="12294" max="12294" width="9" style="2605"/>
    <col min="12295" max="12295" width="9.33203125" style="2605" bestFit="1" customWidth="1"/>
    <col min="12296" max="12297" width="9" style="2605"/>
    <col min="12298" max="12298" width="9.33203125" style="2605" bestFit="1" customWidth="1"/>
    <col min="12299" max="12299" width="4" style="2605" customWidth="1"/>
    <col min="12300" max="12300" width="5.1640625" style="2605" customWidth="1"/>
    <col min="12301" max="12301" width="13.6640625" style="2605" customWidth="1"/>
    <col min="12302" max="12544" width="9" style="2605"/>
    <col min="12545" max="12545" width="4.83203125" style="2605" customWidth="1"/>
    <col min="12546" max="12546" width="13.1640625" style="2605" customWidth="1"/>
    <col min="12547" max="12547" width="15.6640625" style="2605" customWidth="1"/>
    <col min="12548" max="12548" width="9.33203125" style="2605" bestFit="1" customWidth="1"/>
    <col min="12549" max="12549" width="13.5" style="2605" customWidth="1"/>
    <col min="12550" max="12550" width="9" style="2605"/>
    <col min="12551" max="12551" width="9.33203125" style="2605" bestFit="1" customWidth="1"/>
    <col min="12552" max="12553" width="9" style="2605"/>
    <col min="12554" max="12554" width="9.33203125" style="2605" bestFit="1" customWidth="1"/>
    <col min="12555" max="12555" width="4" style="2605" customWidth="1"/>
    <col min="12556" max="12556" width="5.1640625" style="2605" customWidth="1"/>
    <col min="12557" max="12557" width="13.6640625" style="2605" customWidth="1"/>
    <col min="12558" max="12800" width="9" style="2605"/>
    <col min="12801" max="12801" width="4.83203125" style="2605" customWidth="1"/>
    <col min="12802" max="12802" width="13.1640625" style="2605" customWidth="1"/>
    <col min="12803" max="12803" width="15.6640625" style="2605" customWidth="1"/>
    <col min="12804" max="12804" width="9.33203125" style="2605" bestFit="1" customWidth="1"/>
    <col min="12805" max="12805" width="13.5" style="2605" customWidth="1"/>
    <col min="12806" max="12806" width="9" style="2605"/>
    <col min="12807" max="12807" width="9.33203125" style="2605" bestFit="1" customWidth="1"/>
    <col min="12808" max="12809" width="9" style="2605"/>
    <col min="12810" max="12810" width="9.33203125" style="2605" bestFit="1" customWidth="1"/>
    <col min="12811" max="12811" width="4" style="2605" customWidth="1"/>
    <col min="12812" max="12812" width="5.1640625" style="2605" customWidth="1"/>
    <col min="12813" max="12813" width="13.6640625" style="2605" customWidth="1"/>
    <col min="12814" max="13056" width="9" style="2605"/>
    <col min="13057" max="13057" width="4.83203125" style="2605" customWidth="1"/>
    <col min="13058" max="13058" width="13.1640625" style="2605" customWidth="1"/>
    <col min="13059" max="13059" width="15.6640625" style="2605" customWidth="1"/>
    <col min="13060" max="13060" width="9.33203125" style="2605" bestFit="1" customWidth="1"/>
    <col min="13061" max="13061" width="13.5" style="2605" customWidth="1"/>
    <col min="13062" max="13062" width="9" style="2605"/>
    <col min="13063" max="13063" width="9.33203125" style="2605" bestFit="1" customWidth="1"/>
    <col min="13064" max="13065" width="9" style="2605"/>
    <col min="13066" max="13066" width="9.33203125" style="2605" bestFit="1" customWidth="1"/>
    <col min="13067" max="13067" width="4" style="2605" customWidth="1"/>
    <col min="13068" max="13068" width="5.1640625" style="2605" customWidth="1"/>
    <col min="13069" max="13069" width="13.6640625" style="2605" customWidth="1"/>
    <col min="13070" max="13312" width="9" style="2605"/>
    <col min="13313" max="13313" width="4.83203125" style="2605" customWidth="1"/>
    <col min="13314" max="13314" width="13.1640625" style="2605" customWidth="1"/>
    <col min="13315" max="13315" width="15.6640625" style="2605" customWidth="1"/>
    <col min="13316" max="13316" width="9.33203125" style="2605" bestFit="1" customWidth="1"/>
    <col min="13317" max="13317" width="13.5" style="2605" customWidth="1"/>
    <col min="13318" max="13318" width="9" style="2605"/>
    <col min="13319" max="13319" width="9.33203125" style="2605" bestFit="1" customWidth="1"/>
    <col min="13320" max="13321" width="9" style="2605"/>
    <col min="13322" max="13322" width="9.33203125" style="2605" bestFit="1" customWidth="1"/>
    <col min="13323" max="13323" width="4" style="2605" customWidth="1"/>
    <col min="13324" max="13324" width="5.1640625" style="2605" customWidth="1"/>
    <col min="13325" max="13325" width="13.6640625" style="2605" customWidth="1"/>
    <col min="13326" max="13568" width="9" style="2605"/>
    <col min="13569" max="13569" width="4.83203125" style="2605" customWidth="1"/>
    <col min="13570" max="13570" width="13.1640625" style="2605" customWidth="1"/>
    <col min="13571" max="13571" width="15.6640625" style="2605" customWidth="1"/>
    <col min="13572" max="13572" width="9.33203125" style="2605" bestFit="1" customWidth="1"/>
    <col min="13573" max="13573" width="13.5" style="2605" customWidth="1"/>
    <col min="13574" max="13574" width="9" style="2605"/>
    <col min="13575" max="13575" width="9.33203125" style="2605" bestFit="1" customWidth="1"/>
    <col min="13576" max="13577" width="9" style="2605"/>
    <col min="13578" max="13578" width="9.33203125" style="2605" bestFit="1" customWidth="1"/>
    <col min="13579" max="13579" width="4" style="2605" customWidth="1"/>
    <col min="13580" max="13580" width="5.1640625" style="2605" customWidth="1"/>
    <col min="13581" max="13581" width="13.6640625" style="2605" customWidth="1"/>
    <col min="13582" max="13824" width="9" style="2605"/>
    <col min="13825" max="13825" width="4.83203125" style="2605" customWidth="1"/>
    <col min="13826" max="13826" width="13.1640625" style="2605" customWidth="1"/>
    <col min="13827" max="13827" width="15.6640625" style="2605" customWidth="1"/>
    <col min="13828" max="13828" width="9.33203125" style="2605" bestFit="1" customWidth="1"/>
    <col min="13829" max="13829" width="13.5" style="2605" customWidth="1"/>
    <col min="13830" max="13830" width="9" style="2605"/>
    <col min="13831" max="13831" width="9.33203125" style="2605" bestFit="1" customWidth="1"/>
    <col min="13832" max="13833" width="9" style="2605"/>
    <col min="13834" max="13834" width="9.33203125" style="2605" bestFit="1" customWidth="1"/>
    <col min="13835" max="13835" width="4" style="2605" customWidth="1"/>
    <col min="13836" max="13836" width="5.1640625" style="2605" customWidth="1"/>
    <col min="13837" max="13837" width="13.6640625" style="2605" customWidth="1"/>
    <col min="13838" max="14080" width="9" style="2605"/>
    <col min="14081" max="14081" width="4.83203125" style="2605" customWidth="1"/>
    <col min="14082" max="14082" width="13.1640625" style="2605" customWidth="1"/>
    <col min="14083" max="14083" width="15.6640625" style="2605" customWidth="1"/>
    <col min="14084" max="14084" width="9.33203125" style="2605" bestFit="1" customWidth="1"/>
    <col min="14085" max="14085" width="13.5" style="2605" customWidth="1"/>
    <col min="14086" max="14086" width="9" style="2605"/>
    <col min="14087" max="14087" width="9.33203125" style="2605" bestFit="1" customWidth="1"/>
    <col min="14088" max="14089" width="9" style="2605"/>
    <col min="14090" max="14090" width="9.33203125" style="2605" bestFit="1" customWidth="1"/>
    <col min="14091" max="14091" width="4" style="2605" customWidth="1"/>
    <col min="14092" max="14092" width="5.1640625" style="2605" customWidth="1"/>
    <col min="14093" max="14093" width="13.6640625" style="2605" customWidth="1"/>
    <col min="14094" max="14336" width="9" style="2605"/>
    <col min="14337" max="14337" width="4.83203125" style="2605" customWidth="1"/>
    <col min="14338" max="14338" width="13.1640625" style="2605" customWidth="1"/>
    <col min="14339" max="14339" width="15.6640625" style="2605" customWidth="1"/>
    <col min="14340" max="14340" width="9.33203125" style="2605" bestFit="1" customWidth="1"/>
    <col min="14341" max="14341" width="13.5" style="2605" customWidth="1"/>
    <col min="14342" max="14342" width="9" style="2605"/>
    <col min="14343" max="14343" width="9.33203125" style="2605" bestFit="1" customWidth="1"/>
    <col min="14344" max="14345" width="9" style="2605"/>
    <col min="14346" max="14346" width="9.33203125" style="2605" bestFit="1" customWidth="1"/>
    <col min="14347" max="14347" width="4" style="2605" customWidth="1"/>
    <col min="14348" max="14348" width="5.1640625" style="2605" customWidth="1"/>
    <col min="14349" max="14349" width="13.6640625" style="2605" customWidth="1"/>
    <col min="14350" max="14592" width="9" style="2605"/>
    <col min="14593" max="14593" width="4.83203125" style="2605" customWidth="1"/>
    <col min="14594" max="14594" width="13.1640625" style="2605" customWidth="1"/>
    <col min="14595" max="14595" width="15.6640625" style="2605" customWidth="1"/>
    <col min="14596" max="14596" width="9.33203125" style="2605" bestFit="1" customWidth="1"/>
    <col min="14597" max="14597" width="13.5" style="2605" customWidth="1"/>
    <col min="14598" max="14598" width="9" style="2605"/>
    <col min="14599" max="14599" width="9.33203125" style="2605" bestFit="1" customWidth="1"/>
    <col min="14600" max="14601" width="9" style="2605"/>
    <col min="14602" max="14602" width="9.33203125" style="2605" bestFit="1" customWidth="1"/>
    <col min="14603" max="14603" width="4" style="2605" customWidth="1"/>
    <col min="14604" max="14604" width="5.1640625" style="2605" customWidth="1"/>
    <col min="14605" max="14605" width="13.6640625" style="2605" customWidth="1"/>
    <col min="14606" max="14848" width="9" style="2605"/>
    <col min="14849" max="14849" width="4.83203125" style="2605" customWidth="1"/>
    <col min="14850" max="14850" width="13.1640625" style="2605" customWidth="1"/>
    <col min="14851" max="14851" width="15.6640625" style="2605" customWidth="1"/>
    <col min="14852" max="14852" width="9.33203125" style="2605" bestFit="1" customWidth="1"/>
    <col min="14853" max="14853" width="13.5" style="2605" customWidth="1"/>
    <col min="14854" max="14854" width="9" style="2605"/>
    <col min="14855" max="14855" width="9.33203125" style="2605" bestFit="1" customWidth="1"/>
    <col min="14856" max="14857" width="9" style="2605"/>
    <col min="14858" max="14858" width="9.33203125" style="2605" bestFit="1" customWidth="1"/>
    <col min="14859" max="14859" width="4" style="2605" customWidth="1"/>
    <col min="14860" max="14860" width="5.1640625" style="2605" customWidth="1"/>
    <col min="14861" max="14861" width="13.6640625" style="2605" customWidth="1"/>
    <col min="14862" max="15104" width="9" style="2605"/>
    <col min="15105" max="15105" width="4.83203125" style="2605" customWidth="1"/>
    <col min="15106" max="15106" width="13.1640625" style="2605" customWidth="1"/>
    <col min="15107" max="15107" width="15.6640625" style="2605" customWidth="1"/>
    <col min="15108" max="15108" width="9.33203125" style="2605" bestFit="1" customWidth="1"/>
    <col min="15109" max="15109" width="13.5" style="2605" customWidth="1"/>
    <col min="15110" max="15110" width="9" style="2605"/>
    <col min="15111" max="15111" width="9.33203125" style="2605" bestFit="1" customWidth="1"/>
    <col min="15112" max="15113" width="9" style="2605"/>
    <col min="15114" max="15114" width="9.33203125" style="2605" bestFit="1" customWidth="1"/>
    <col min="15115" max="15115" width="4" style="2605" customWidth="1"/>
    <col min="15116" max="15116" width="5.1640625" style="2605" customWidth="1"/>
    <col min="15117" max="15117" width="13.6640625" style="2605" customWidth="1"/>
    <col min="15118" max="15360" width="9" style="2605"/>
    <col min="15361" max="15361" width="4.83203125" style="2605" customWidth="1"/>
    <col min="15362" max="15362" width="13.1640625" style="2605" customWidth="1"/>
    <col min="15363" max="15363" width="15.6640625" style="2605" customWidth="1"/>
    <col min="15364" max="15364" width="9.33203125" style="2605" bestFit="1" customWidth="1"/>
    <col min="15365" max="15365" width="13.5" style="2605" customWidth="1"/>
    <col min="15366" max="15366" width="9" style="2605"/>
    <col min="15367" max="15367" width="9.33203125" style="2605" bestFit="1" customWidth="1"/>
    <col min="15368" max="15369" width="9" style="2605"/>
    <col min="15370" max="15370" width="9.33203125" style="2605" bestFit="1" customWidth="1"/>
    <col min="15371" max="15371" width="4" style="2605" customWidth="1"/>
    <col min="15372" max="15372" width="5.1640625" style="2605" customWidth="1"/>
    <col min="15373" max="15373" width="13.6640625" style="2605" customWidth="1"/>
    <col min="15374" max="15616" width="9" style="2605"/>
    <col min="15617" max="15617" width="4.83203125" style="2605" customWidth="1"/>
    <col min="15618" max="15618" width="13.1640625" style="2605" customWidth="1"/>
    <col min="15619" max="15619" width="15.6640625" style="2605" customWidth="1"/>
    <col min="15620" max="15620" width="9.33203125" style="2605" bestFit="1" customWidth="1"/>
    <col min="15621" max="15621" width="13.5" style="2605" customWidth="1"/>
    <col min="15622" max="15622" width="9" style="2605"/>
    <col min="15623" max="15623" width="9.33203125" style="2605" bestFit="1" customWidth="1"/>
    <col min="15624" max="15625" width="9" style="2605"/>
    <col min="15626" max="15626" width="9.33203125" style="2605" bestFit="1" customWidth="1"/>
    <col min="15627" max="15627" width="4" style="2605" customWidth="1"/>
    <col min="15628" max="15628" width="5.1640625" style="2605" customWidth="1"/>
    <col min="15629" max="15629" width="13.6640625" style="2605" customWidth="1"/>
    <col min="15630" max="15872" width="9" style="2605"/>
    <col min="15873" max="15873" width="4.83203125" style="2605" customWidth="1"/>
    <col min="15874" max="15874" width="13.1640625" style="2605" customWidth="1"/>
    <col min="15875" max="15875" width="15.6640625" style="2605" customWidth="1"/>
    <col min="15876" max="15876" width="9.33203125" style="2605" bestFit="1" customWidth="1"/>
    <col min="15877" max="15877" width="13.5" style="2605" customWidth="1"/>
    <col min="15878" max="15878" width="9" style="2605"/>
    <col min="15879" max="15879" width="9.33203125" style="2605" bestFit="1" customWidth="1"/>
    <col min="15880" max="15881" width="9" style="2605"/>
    <col min="15882" max="15882" width="9.33203125" style="2605" bestFit="1" customWidth="1"/>
    <col min="15883" max="15883" width="4" style="2605" customWidth="1"/>
    <col min="15884" max="15884" width="5.1640625" style="2605" customWidth="1"/>
    <col min="15885" max="15885" width="13.6640625" style="2605" customWidth="1"/>
    <col min="15886" max="16128" width="9" style="2605"/>
    <col min="16129" max="16129" width="4.83203125" style="2605" customWidth="1"/>
    <col min="16130" max="16130" width="13.1640625" style="2605" customWidth="1"/>
    <col min="16131" max="16131" width="15.6640625" style="2605" customWidth="1"/>
    <col min="16132" max="16132" width="9.33203125" style="2605" bestFit="1" customWidth="1"/>
    <col min="16133" max="16133" width="13.5" style="2605" customWidth="1"/>
    <col min="16134" max="16134" width="9" style="2605"/>
    <col min="16135" max="16135" width="9.33203125" style="2605" bestFit="1" customWidth="1"/>
    <col min="16136" max="16137" width="9" style="2605"/>
    <col min="16138" max="16138" width="9.33203125" style="2605" bestFit="1" customWidth="1"/>
    <col min="16139" max="16139" width="4" style="2605" customWidth="1"/>
    <col min="16140" max="16140" width="5.1640625" style="2605" customWidth="1"/>
    <col min="16141" max="16141" width="13.6640625" style="2605" customWidth="1"/>
    <col min="16142" max="16384" width="9" style="2605"/>
  </cols>
  <sheetData>
    <row r="1" spans="1:257" s="2665" customFormat="1" ht="15" thickBot="1">
      <c r="A1" s="2664"/>
      <c r="B1" s="2666" t="s">
        <v>2558</v>
      </c>
      <c r="C1" s="2670">
        <f>项目基本情况!D3</f>
        <v>44826</v>
      </c>
      <c r="H1" s="2604">
        <f>IF(C1&gt;C13,0,MATCH(C1,C$13:C$100,-1))+IF(SUMIF(C13:C100,C1,D13:D100)=0,13,12)</f>
        <v>13</v>
      </c>
      <c r="I1" s="2604">
        <f ca="1">MATCH(C2,H3:H7,1)+IF(SUMIF(H3:H7,C2,I3:I7)=0,2,1)</f>
        <v>5</v>
      </c>
      <c r="J1" s="2663">
        <f ca="1">MATCH(C3,H3:H7,1)+IF(SUMIF(H3:H7,C3,J3:J7)=0,2,1)</f>
        <v>4</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6" thickTop="1" thickBot="1">
      <c r="A2" s="2606"/>
      <c r="B2" s="2667" t="s">
        <v>2589</v>
      </c>
      <c r="C2" s="2671">
        <f>'数据-取费表'!B22</f>
        <v>3</v>
      </c>
      <c r="D2" s="2666" t="s">
        <v>2559</v>
      </c>
      <c r="E2" s="2669">
        <f ca="1">INDIRECT("I"&amp;$I$1)/100</f>
        <v>4.7500000000000001E-2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1</v>
      </c>
      <c r="D3" s="2666" t="s">
        <v>2559</v>
      </c>
      <c r="E3" s="2669">
        <f ca="1">INDIRECT("J"&amp;$J$1)/100</f>
        <v>4.3499999999999997E-2</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19">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4">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ht="15">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6">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6">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ht="15">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ht="15">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ht="15">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ht="15">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ht="15">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ht="15">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ht="15">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ht="15">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ht="15">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ht="15">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ht="15">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473" t="s">
        <v>1823</v>
      </c>
      <c r="B1" s="3473"/>
      <c r="C1" s="3473"/>
      <c r="D1" s="3473"/>
      <c r="E1" s="3473"/>
      <c r="F1" s="3473"/>
      <c r="G1" s="3473"/>
      <c r="H1" s="3473"/>
      <c r="I1" s="3473"/>
      <c r="J1" s="3473"/>
      <c r="K1" s="3473"/>
      <c r="L1" s="3473"/>
      <c r="M1" s="3473"/>
      <c r="N1" s="3473"/>
      <c r="O1" s="3473"/>
      <c r="P1" s="3473"/>
      <c r="Q1" s="3473"/>
      <c r="R1" s="3473"/>
    </row>
    <row r="2" spans="1:18">
      <c r="A2" s="1676" t="s">
        <v>1825</v>
      </c>
      <c r="B2" s="1676"/>
      <c r="C2" s="1676"/>
      <c r="D2" s="1676"/>
      <c r="E2" s="1676"/>
      <c r="F2" s="1676"/>
      <c r="G2" s="1676"/>
      <c r="H2" s="1676"/>
      <c r="I2" s="1677"/>
      <c r="J2" s="1677"/>
      <c r="K2" s="1678" t="str">
        <f>"估价期日："&amp;TEXT(项目基本情况!D3,"yyyy年m月d日;;")</f>
        <v>估价期日：2022年9月22日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74" t="s">
        <v>1814</v>
      </c>
      <c r="B3" s="3474" t="s">
        <v>2502</v>
      </c>
      <c r="C3" s="3475" t="s">
        <v>1815</v>
      </c>
      <c r="D3" s="3474" t="s">
        <v>2506</v>
      </c>
      <c r="E3" s="3477" t="s">
        <v>1816</v>
      </c>
      <c r="F3" s="3477"/>
      <c r="G3" s="3477"/>
      <c r="H3" s="3477" t="s">
        <v>1817</v>
      </c>
      <c r="I3" s="3477"/>
      <c r="J3" s="3477"/>
      <c r="K3" s="3475" t="s">
        <v>1818</v>
      </c>
      <c r="L3" s="3475" t="s">
        <v>1819</v>
      </c>
      <c r="M3" s="3474" t="s">
        <v>2503</v>
      </c>
      <c r="N3" s="3476" t="str">
        <f>"（分摊）"&amp;项目基本情况!B16&amp;"国有建设用地使用权面积/㎡"</f>
        <v>（分摊）出让国有建设用地使用权面积/㎡</v>
      </c>
      <c r="O3" s="3474" t="s">
        <v>1848</v>
      </c>
      <c r="P3" s="3475" t="s">
        <v>1828</v>
      </c>
      <c r="Q3" s="3475" t="s">
        <v>1849</v>
      </c>
      <c r="R3" s="3475" t="s">
        <v>1820</v>
      </c>
    </row>
    <row r="4" spans="1:18" ht="36.75" customHeight="1">
      <c r="A4" s="3474"/>
      <c r="B4" s="3474"/>
      <c r="C4" s="3475"/>
      <c r="D4" s="3474"/>
      <c r="E4" s="2440" t="s">
        <v>1827</v>
      </c>
      <c r="F4" s="2440" t="s">
        <v>2515</v>
      </c>
      <c r="G4" s="2440" t="s">
        <v>1821</v>
      </c>
      <c r="H4" s="2440" t="s">
        <v>1822</v>
      </c>
      <c r="I4" s="2440" t="s">
        <v>2516</v>
      </c>
      <c r="J4" s="2440" t="s">
        <v>1821</v>
      </c>
      <c r="K4" s="3475"/>
      <c r="L4" s="3475"/>
      <c r="M4" s="3474"/>
      <c r="N4" s="3476"/>
      <c r="O4" s="3474"/>
      <c r="P4" s="3475"/>
      <c r="Q4" s="3475"/>
      <c r="R4" s="3475"/>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52670.3</v>
      </c>
      <c r="O5" s="1679">
        <f>项目基本情况!C21</f>
        <v>83394.849999999991</v>
      </c>
      <c r="P5" s="1679">
        <f ca="1">结果表!E42</f>
        <v>17117</v>
      </c>
      <c r="Q5" s="1679">
        <f ca="1">结果表!D42</f>
        <v>10811</v>
      </c>
      <c r="R5" s="1680">
        <f ca="1">结果表!C42</f>
        <v>90155</v>
      </c>
    </row>
    <row r="6" spans="1:18" ht="15">
      <c r="A6" s="3478" t="str">
        <f>IF(项目基本情况!B9="市场价格","——","抵押价格")</f>
        <v>——</v>
      </c>
      <c r="B6" s="3479"/>
      <c r="C6" s="3479"/>
      <c r="D6" s="3479"/>
      <c r="E6" s="3479"/>
      <c r="F6" s="3479"/>
      <c r="G6" s="3479"/>
      <c r="H6" s="3479"/>
      <c r="I6" s="3479"/>
      <c r="J6" s="3479"/>
      <c r="K6" s="3479"/>
      <c r="L6" s="3479"/>
      <c r="M6" s="3479"/>
      <c r="N6" s="3479"/>
      <c r="O6" s="3479"/>
      <c r="P6" s="3479"/>
      <c r="Q6" s="3480"/>
      <c r="R6" s="1681" t="str">
        <f>结果表!O39</f>
        <v>——</v>
      </c>
    </row>
    <row r="7" spans="1:18" ht="15">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1681" t="str">
        <f>结果表!O40</f>
        <v>——</v>
      </c>
    </row>
    <row r="8" spans="1:18" ht="15">
      <c r="A8" s="3478" t="str">
        <f>IF(项目基本情况!B9="市场价格","——",项目基本情况!E9)</f>
        <v>——</v>
      </c>
      <c r="B8" s="3479"/>
      <c r="C8" s="3479"/>
      <c r="D8" s="3479"/>
      <c r="E8" s="3479"/>
      <c r="F8" s="3479"/>
      <c r="G8" s="3479"/>
      <c r="H8" s="3479"/>
      <c r="I8" s="3479"/>
      <c r="J8" s="3479"/>
      <c r="K8" s="3479"/>
      <c r="L8" s="3479"/>
      <c r="M8" s="3479"/>
      <c r="N8" s="3479"/>
      <c r="O8" s="3479"/>
      <c r="P8" s="3479"/>
      <c r="Q8" s="3480"/>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6640625" style="1671" customWidth="1"/>
    <col min="2" max="3" width="21.33203125" style="1671" customWidth="1"/>
    <col min="4" max="4" width="19.83203125" style="1671" customWidth="1"/>
    <col min="5" max="16384" width="9" style="1671"/>
  </cols>
  <sheetData>
    <row r="1" spans="1:4">
      <c r="A1" s="3482" t="s">
        <v>1850</v>
      </c>
      <c r="B1" s="3482"/>
      <c r="C1" s="3482"/>
      <c r="D1" s="3482"/>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8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2"/>
      <c r="C3" s="3482"/>
      <c r="D3" s="3482"/>
    </row>
    <row r="4" spans="1:4" ht="36.75" customHeight="1">
      <c r="A4" s="3482" t="str">
        <f>"3.估价规划限制条件：详见"&amp;项目基本情况!E21&amp;"。"</f>
        <v>3.估价规划限制条件：详见《建设工程规划许可证》[]、《出让合同》[]。</v>
      </c>
      <c r="B4" s="3482"/>
      <c r="C4" s="3482"/>
      <c r="D4" s="3482"/>
    </row>
    <row r="5" spans="1:4">
      <c r="A5" s="3481" t="s">
        <v>1851</v>
      </c>
      <c r="B5" s="3481"/>
      <c r="C5" s="3481"/>
      <c r="D5" s="3481"/>
    </row>
    <row r="6" spans="1:4">
      <c r="A6" s="3482" t="s">
        <v>1829</v>
      </c>
      <c r="B6" s="3482"/>
      <c r="C6" s="3482"/>
      <c r="D6" s="3482"/>
    </row>
    <row r="7" spans="1:4" ht="33" customHeight="1">
      <c r="A7" s="3482" t="s">
        <v>2346</v>
      </c>
      <c r="B7" s="3482"/>
      <c r="C7" s="3482"/>
      <c r="D7" s="3482"/>
    </row>
    <row r="8" spans="1:4" ht="32.25" customHeight="1">
      <c r="A8" s="348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82"/>
      <c r="C8" s="3482"/>
      <c r="D8" s="3482"/>
    </row>
    <row r="9" spans="1:4" ht="33.75" customHeight="1">
      <c r="A9" s="3482" t="str">
        <f>IF(项目基本情况!B8="抵押","3.抵押双方在办理抵押登记手续时，应使用本公司出具的正式《土地估价报告》，特提请报告使用者注意。","——")</f>
        <v>——</v>
      </c>
      <c r="B9" s="3482"/>
      <c r="C9" s="3482"/>
      <c r="D9" s="3482"/>
    </row>
    <row r="10" spans="1:4">
      <c r="A10" s="3482" t="str">
        <f>IF(项目基本情况!B8="抵押","4.估价师所知悉的法定优先受偿款情况为：","——")</f>
        <v>——</v>
      </c>
      <c r="B10" s="3482"/>
      <c r="C10" s="3482"/>
      <c r="D10" s="3482"/>
    </row>
    <row r="11" spans="1:4" ht="37.5" customHeight="1">
      <c r="A11" s="3484" t="str">
        <f>IF(项目基本情况!B8="抵押","（1）"&amp;CONCATENATE(项目基本情况!L24,项目基本情况!L25,项目基本情况!L26),"——")</f>
        <v>——</v>
      </c>
      <c r="B11" s="3484"/>
      <c r="C11" s="3484"/>
      <c r="D11" s="3484"/>
    </row>
    <row r="12" spans="1:4" ht="168" customHeight="1">
      <c r="A12" s="3481" t="s">
        <v>1853</v>
      </c>
      <c r="B12" s="3481"/>
      <c r="C12" s="3481"/>
      <c r="D12" s="3481"/>
    </row>
    <row r="13" spans="1:4">
      <c r="A13" s="3485" t="s">
        <v>2517</v>
      </c>
      <c r="B13" s="3485"/>
      <c r="C13" s="3485"/>
      <c r="D13" s="3485"/>
    </row>
    <row r="14" spans="1:4">
      <c r="A14" s="3484" t="str">
        <f>IF(项目基本情况!B8="抵押","综上，"&amp;结果表!K47,"——")</f>
        <v>——</v>
      </c>
      <c r="B14" s="3484"/>
      <c r="C14" s="3484"/>
      <c r="D14" s="3484"/>
    </row>
    <row r="15" spans="1:4" ht="58.5" customHeight="1">
      <c r="A15" s="348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2"/>
      <c r="C15" s="3482"/>
      <c r="D15" s="3482"/>
    </row>
    <row r="16" spans="1:4" ht="70.5" customHeight="1">
      <c r="A16" s="348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2"/>
      <c r="C16" s="3482"/>
      <c r="D16" s="3482"/>
    </row>
    <row r="17" spans="1:4">
      <c r="A17" s="3482" t="s">
        <v>2473</v>
      </c>
      <c r="B17" s="3482"/>
      <c r="C17" s="3482"/>
      <c r="D17" s="3482"/>
    </row>
    <row r="18" spans="1:4">
      <c r="A18" s="3482" t="s">
        <v>2465</v>
      </c>
      <c r="B18" s="3482"/>
      <c r="C18" s="3482"/>
      <c r="D18" s="3482"/>
    </row>
    <row r="19" spans="1:4" ht="16">
      <c r="A19" s="2534" t="s">
        <v>2466</v>
      </c>
      <c r="B19" s="2534" t="s">
        <v>2467</v>
      </c>
      <c r="C19" s="2534" t="s">
        <v>2468</v>
      </c>
      <c r="D19" s="2534" t="s">
        <v>2469</v>
      </c>
    </row>
    <row r="20" spans="1:4" ht="16">
      <c r="A20" s="2534" t="str">
        <f>项目基本情况!B4</f>
        <v>土地估价师</v>
      </c>
      <c r="B20" s="2534">
        <f>项目基本情况!C4</f>
        <v>0</v>
      </c>
      <c r="C20" s="2536"/>
      <c r="D20" s="1669" t="s">
        <v>2474</v>
      </c>
    </row>
    <row r="21" spans="1:4" ht="16">
      <c r="A21" s="2534" t="str">
        <f>项目基本情况!D4</f>
        <v>土地估价师</v>
      </c>
      <c r="B21" s="2534">
        <f>项目基本情况!E4</f>
        <v>0</v>
      </c>
      <c r="C21" s="2536"/>
      <c r="D21" s="1669" t="s">
        <v>2475</v>
      </c>
    </row>
    <row r="23" spans="1:4">
      <c r="A23" s="3482" t="s">
        <v>2470</v>
      </c>
      <c r="B23" s="3482"/>
      <c r="C23" s="3482"/>
      <c r="D23" s="3482"/>
    </row>
    <row r="24" spans="1:4" ht="16">
      <c r="A24" s="2534" t="s">
        <v>2466</v>
      </c>
      <c r="B24" s="2534" t="s">
        <v>2471</v>
      </c>
      <c r="C24" s="2534" t="s">
        <v>2468</v>
      </c>
      <c r="D24" s="2534" t="s">
        <v>2469</v>
      </c>
    </row>
    <row r="25" spans="1:4" ht="16">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baseColWidth="10" defaultColWidth="14.5" defaultRowHeight="16"/>
  <cols>
    <col min="1" max="1" width="14.5" style="1111" customWidth="1"/>
    <col min="2" max="16384" width="14.5" style="1109"/>
  </cols>
  <sheetData>
    <row r="1" spans="1:7" s="1107" customFormat="1" ht="18">
      <c r="A1" s="1106" t="s">
        <v>65</v>
      </c>
    </row>
    <row r="3" spans="1:7">
      <c r="A3" s="1108" t="s">
        <v>66</v>
      </c>
      <c r="B3" s="1109" t="s">
        <v>67</v>
      </c>
      <c r="G3" s="1110"/>
    </row>
    <row r="4" spans="1:7">
      <c r="G4" s="1110"/>
    </row>
    <row r="5" spans="1:7">
      <c r="A5" s="1112" t="s">
        <v>45</v>
      </c>
      <c r="B5" s="1109" t="s">
        <v>46</v>
      </c>
      <c r="G5" s="1110"/>
    </row>
    <row r="6" spans="1:7">
      <c r="G6" s="1110"/>
    </row>
    <row r="7" spans="1:7">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
      <c r="A15" s="3493" t="s">
        <v>53</v>
      </c>
      <c r="B15" s="3494" t="s">
        <v>821</v>
      </c>
      <c r="C15" s="3490"/>
    </row>
    <row r="16" spans="1:7" ht="14">
      <c r="A16" s="3493"/>
      <c r="B16" s="3491" t="s">
        <v>54</v>
      </c>
      <c r="C16" s="1118" t="s">
        <v>53</v>
      </c>
    </row>
    <row r="17" spans="1:3" ht="14">
      <c r="A17" s="3493"/>
      <c r="B17" s="3491"/>
      <c r="C17" s="1118" t="s">
        <v>55</v>
      </c>
    </row>
    <row r="18" spans="1:3" ht="14">
      <c r="A18" s="3493"/>
      <c r="B18" s="3491"/>
      <c r="C18" s="1118" t="s">
        <v>56</v>
      </c>
    </row>
    <row r="19" spans="1:3" ht="14">
      <c r="A19" s="3493"/>
      <c r="B19" s="3489" t="s">
        <v>57</v>
      </c>
      <c r="C19" s="3490"/>
    </row>
    <row r="20" spans="1:3" ht="14">
      <c r="A20" s="1119" t="s">
        <v>58</v>
      </c>
      <c r="B20" s="1120"/>
      <c r="C20" s="1121"/>
    </row>
    <row r="21" spans="1:3" ht="14">
      <c r="A21" s="3492" t="s">
        <v>59</v>
      </c>
      <c r="B21" s="3489" t="s">
        <v>60</v>
      </c>
      <c r="C21" s="3490"/>
    </row>
    <row r="22" spans="1:3" ht="14">
      <c r="A22" s="3492"/>
      <c r="B22" s="3489" t="s">
        <v>61</v>
      </c>
      <c r="C22" s="3490"/>
    </row>
    <row r="23" spans="1:3" ht="14">
      <c r="A23" s="3492"/>
      <c r="B23" s="3489" t="s">
        <v>62</v>
      </c>
      <c r="C23" s="3490"/>
    </row>
    <row r="24" spans="1:3" ht="14">
      <c r="A24" s="3492"/>
      <c r="B24" s="3495" t="s">
        <v>63</v>
      </c>
      <c r="C24" s="1122" t="s">
        <v>812</v>
      </c>
    </row>
    <row r="25" spans="1:3" ht="14">
      <c r="A25" s="3492"/>
      <c r="B25" s="3496"/>
      <c r="C25" s="1122" t="s">
        <v>813</v>
      </c>
    </row>
    <row r="26" spans="1:3" ht="14">
      <c r="A26" s="3492"/>
      <c r="B26" s="3496"/>
      <c r="C26" s="1122" t="s">
        <v>814</v>
      </c>
    </row>
    <row r="27" spans="1:3" ht="14">
      <c r="A27" s="3492"/>
      <c r="B27" s="3496"/>
      <c r="C27" s="1122" t="s">
        <v>815</v>
      </c>
    </row>
    <row r="28" spans="1:3" ht="14">
      <c r="A28" s="3492"/>
      <c r="B28" s="3496"/>
      <c r="C28" s="1122" t="s">
        <v>816</v>
      </c>
    </row>
    <row r="29" spans="1:3" ht="14">
      <c r="A29" s="3492"/>
      <c r="B29" s="3496"/>
      <c r="C29" s="1122" t="s">
        <v>817</v>
      </c>
    </row>
    <row r="30" spans="1:3" ht="14">
      <c r="A30" s="3492"/>
      <c r="B30" s="3496"/>
      <c r="C30" s="1122" t="s">
        <v>818</v>
      </c>
    </row>
    <row r="31" spans="1:3" ht="14">
      <c r="A31" s="3492"/>
      <c r="B31" s="3496"/>
      <c r="C31" s="1122" t="s">
        <v>819</v>
      </c>
    </row>
    <row r="32" spans="1:3" ht="14">
      <c r="A32" s="3492"/>
      <c r="B32" s="3496"/>
      <c r="C32" s="1122" t="s">
        <v>1441</v>
      </c>
    </row>
    <row r="33" spans="1:3" ht="14">
      <c r="A33" s="3492"/>
      <c r="B33" s="3486" t="s">
        <v>1447</v>
      </c>
      <c r="C33" s="1122" t="s">
        <v>1442</v>
      </c>
    </row>
    <row r="34" spans="1:3" ht="14">
      <c r="A34" s="3492"/>
      <c r="B34" s="3487"/>
      <c r="C34" s="1127" t="s">
        <v>1443</v>
      </c>
    </row>
    <row r="35" spans="1:3" ht="14">
      <c r="A35" s="3492"/>
      <c r="B35" s="3487"/>
      <c r="C35" s="1128" t="s">
        <v>1444</v>
      </c>
    </row>
    <row r="36" spans="1:3" ht="14">
      <c r="A36" s="3492"/>
      <c r="B36" s="3487"/>
      <c r="C36" s="1128" t="s">
        <v>1445</v>
      </c>
    </row>
    <row r="37" spans="1:3" ht="14">
      <c r="A37" s="3492"/>
      <c r="B37" s="3488"/>
      <c r="C37" s="1129" t="s">
        <v>1446</v>
      </c>
    </row>
    <row r="38" spans="1:3">
      <c r="A38" s="1123" t="s">
        <v>820</v>
      </c>
    </row>
    <row r="41" spans="1:3">
      <c r="A41" s="1123" t="s">
        <v>68</v>
      </c>
    </row>
    <row r="42" spans="1:3" ht="14">
      <c r="A42" s="1124" t="s">
        <v>828</v>
      </c>
    </row>
    <row r="43" spans="1:3" ht="14">
      <c r="A43" s="1125" t="s">
        <v>69</v>
      </c>
    </row>
    <row r="44" spans="1:3" ht="14">
      <c r="A44" s="1124" t="s">
        <v>827</v>
      </c>
    </row>
    <row r="45" spans="1:3" ht="14">
      <c r="A45" s="1126" t="s">
        <v>829</v>
      </c>
    </row>
    <row r="46" spans="1:3" ht="1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baseColWidth="10" defaultColWidth="22.6640625" defaultRowHeight="20.25" customHeight="1"/>
  <cols>
    <col min="1" max="1" width="24.6640625" style="2777" customWidth="1"/>
    <col min="2" max="2" width="22.6640625" style="2777" bestFit="1" customWidth="1"/>
    <col min="3" max="3" width="25.6640625" style="2777" bestFit="1" customWidth="1"/>
    <col min="4" max="4" width="22.6640625" style="2777"/>
    <col min="5" max="5" width="22.6640625" style="2777" bestFit="1" customWidth="1"/>
    <col min="6" max="6" width="25.6640625" style="2777" customWidth="1"/>
    <col min="7" max="16384" width="22.6640625" style="2777"/>
  </cols>
  <sheetData>
    <row r="1" spans="1:7" ht="20.25" customHeight="1">
      <c r="A1" s="2962"/>
      <c r="B1" s="2962"/>
      <c r="C1" s="2962"/>
      <c r="D1" s="2962"/>
      <c r="E1" s="2962"/>
      <c r="F1" s="2962"/>
      <c r="G1" s="2962"/>
    </row>
    <row r="2" spans="1:7" ht="20.25" customHeight="1">
      <c r="A2" s="2963" t="s">
        <v>1696</v>
      </c>
      <c r="B2" s="2964">
        <f ca="1">TODAY()</f>
        <v>44872</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2731</v>
      </c>
      <c r="B12" s="2967" t="str">
        <f ca="1">IF(C12&lt;B2,"已过期",1120040230)</f>
        <v>已过期</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00" t="s">
        <v>1713</v>
      </c>
      <c r="B18" s="3501"/>
      <c r="C18" s="3501"/>
      <c r="D18" s="3501"/>
      <c r="E18" s="3501"/>
      <c r="F18" s="3501"/>
      <c r="G18" s="2971"/>
    </row>
    <row r="19" spans="1:7" ht="20.25" customHeight="1">
      <c r="A19" s="3497" t="s">
        <v>1714</v>
      </c>
      <c r="B19" s="3497"/>
      <c r="C19" s="3498"/>
      <c r="D19" s="3499" t="s">
        <v>1715</v>
      </c>
      <c r="E19" s="3497"/>
      <c r="F19" s="3497"/>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baseColWidth="10" defaultColWidth="9" defaultRowHeight="14"/>
  <cols>
    <col min="1" max="1" width="10.33203125" style="1131" customWidth="1"/>
    <col min="2" max="2" width="18.83203125" style="110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09" customWidth="1"/>
    <col min="25" max="25" width="7.1640625" style="1109" customWidth="1"/>
    <col min="26" max="16384" width="9" style="1109"/>
  </cols>
  <sheetData>
    <row r="1" spans="1:23" s="1130" customFormat="1" ht="30">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502"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22日，在规划利用条件下、设定土地开发程度为红线外“七通”、宗地内场地，设定用途为，剩余土地使用年限为的出让国有建设用地使用权价格。</v>
      </c>
      <c r="D53" s="1639"/>
      <c r="E53" s="1639"/>
    </row>
    <row r="54" spans="1:5">
      <c r="A54" s="3502"/>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2"/>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2"/>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2"/>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规划条件</vt:lpstr>
      <vt:lpstr>Sheet2</vt:lpstr>
      <vt:lpstr>Sheet1</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2017-03-09T08:11:21Z</cp:lastPrinted>
  <dcterms:created xsi:type="dcterms:W3CDTF">2015-07-13T07:17:23Z</dcterms:created>
  <dcterms:modified xsi:type="dcterms:W3CDTF">2022-11-07T06:03:29Z</dcterms:modified>
</cp:coreProperties>
</file>