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顺义22街区\"/>
    </mc:Choice>
  </mc:AlternateContent>
  <xr:revisionPtr revIDLastSave="0" documentId="13_ncr:1_{3647E69B-91B2-4815-93C9-BBE3734F8DBB}" xr6:coauthVersionLast="45" xr6:coauthVersionMax="45" xr10:uidLastSave="{00000000-0000-0000-0000-000000000000}"/>
  <bookViews>
    <workbookView xWindow="-120" yWindow="-120" windowWidth="21840" windowHeight="13140" tabRatio="837" firstSheet="12"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截图" sheetId="79" r:id="rId12"/>
    <sheet name="数据-基础表" sheetId="3" r:id="rId13"/>
    <sheet name="数据-汇总表" sheetId="6" r:id="rId14"/>
    <sheet name="数据-取费表" sheetId="1"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住宅自持0.8）" sheetId="81" r:id="rId34"/>
    <sheet name="基准地价（住宅上海0.25）" sheetId="82" r:id="rId35"/>
    <sheet name="基准地价（工业）" sheetId="80" r:id="rId36"/>
    <sheet name="基准地价（商业）" sheetId="43" r:id="rId37"/>
    <sheet name="修正" sheetId="45"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地价-分区" sheetId="78" r:id="rId44"/>
    <sheet name="区片价" sheetId="44" state="hidden" r:id="rId45"/>
    <sheet name="因素修正幅度" sheetId="65" state="hidden" r:id="rId46"/>
    <sheet name="存贷款利率" sheetId="73" state="hidden" r:id="rId47"/>
    <sheet name="区片价（范围）" sheetId="75"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'基准地价（工业）'!$A$1:$J$44,'基准地价（工业）'!$A$48:$H$102,'基准地价（工业）'!$R$1:$V$16</definedName>
    <definedName name="_xlnm.Print_Area" localSheetId="39">'基准地价（汇总）'!$A$1:$E$13</definedName>
    <definedName name="_xlnm.Print_Area" localSheetId="36">'基准地价（商业）'!$A$1:$J$44,'基准地价（商业）'!$A$48:$H$102,'基准地价（商业）'!$R$1:$V$16</definedName>
    <definedName name="_xlnm.Print_Area" localSheetId="34">'基准地价（住宅上海0.25）'!$A$1:$J$44,'基准地价（住宅上海0.25）'!$A$48:$H$102,'基准地价（住宅上海0.25）'!$R$1:$V$16</definedName>
    <definedName name="_xlnm.Print_Area" localSheetId="33">'基准地价（住宅自持0.8）'!$A$1:$J$44,'基准地价（住宅自持0.8）'!$A$48:$H$102,'基准地价（住宅自持0.8）'!$R$1:$V$16</definedName>
    <definedName name="_xlnm.Print_Area" localSheetId="20">假设开发法!$A$1:$K$32</definedName>
    <definedName name="_xlnm.Print_Area" localSheetId="17">结果表!$A$1:$I$127</definedName>
    <definedName name="_xlnm.Print_Area" localSheetId="44">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'基准地价（工业）'!$Z$19:$AD$19</definedName>
    <definedName name="季度" localSheetId="34">'基准地价（住宅上海0.25）'!$Z$19:$AD$19</definedName>
    <definedName name="季度" localSheetId="33">'基准地价（住宅自持0.8）'!$Z$19:$AD$19</definedName>
    <definedName name="季度">'基准地价（商业）'!$Z$19:$AD$19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82" l="1"/>
  <c r="F117" i="82"/>
  <c r="N113" i="82"/>
  <c r="F113" i="82"/>
  <c r="N112" i="82"/>
  <c r="M112" i="82"/>
  <c r="M113" i="82" s="1"/>
  <c r="L112" i="82"/>
  <c r="L113" i="82" s="1"/>
  <c r="K112" i="82"/>
  <c r="K113" i="82" s="1"/>
  <c r="J112" i="82"/>
  <c r="J113" i="82" s="1"/>
  <c r="I112" i="82"/>
  <c r="I113" i="82" s="1"/>
  <c r="H112" i="82"/>
  <c r="H113" i="82" s="1"/>
  <c r="G112" i="82"/>
  <c r="G113" i="82" s="1"/>
  <c r="F112" i="82"/>
  <c r="E112" i="82"/>
  <c r="E113" i="82" s="1"/>
  <c r="D112" i="82"/>
  <c r="D113" i="82" s="1"/>
  <c r="C112" i="82"/>
  <c r="C113" i="82" s="1"/>
  <c r="N102" i="82"/>
  <c r="M102" i="82"/>
  <c r="K102" i="82"/>
  <c r="J102" i="82" s="1"/>
  <c r="H102" i="82"/>
  <c r="D102" i="82"/>
  <c r="B102" i="82"/>
  <c r="M101" i="82"/>
  <c r="N101" i="82" s="1"/>
  <c r="K101" i="82"/>
  <c r="J101" i="82"/>
  <c r="D101" i="82"/>
  <c r="B101" i="82"/>
  <c r="N100" i="82"/>
  <c r="M100" i="82"/>
  <c r="K100" i="82"/>
  <c r="J100" i="82" s="1"/>
  <c r="H100" i="82"/>
  <c r="D100" i="82"/>
  <c r="B100" i="82"/>
  <c r="M99" i="82"/>
  <c r="N99" i="82" s="1"/>
  <c r="K99" i="82"/>
  <c r="J99" i="82"/>
  <c r="D99" i="82"/>
  <c r="M98" i="82"/>
  <c r="N98" i="82" s="1"/>
  <c r="K98" i="82"/>
  <c r="J98" i="82"/>
  <c r="D98" i="82"/>
  <c r="B98" i="82"/>
  <c r="N97" i="82"/>
  <c r="M97" i="82"/>
  <c r="K97" i="82"/>
  <c r="J97" i="82" s="1"/>
  <c r="H97" i="82"/>
  <c r="D97" i="82"/>
  <c r="N96" i="82"/>
  <c r="M96" i="82"/>
  <c r="K96" i="82"/>
  <c r="J96" i="82" s="1"/>
  <c r="H96" i="82"/>
  <c r="D96" i="82"/>
  <c r="B96" i="82"/>
  <c r="M95" i="82"/>
  <c r="N95" i="82" s="1"/>
  <c r="K95" i="82"/>
  <c r="J95" i="82"/>
  <c r="D95" i="82"/>
  <c r="E94" i="82" s="1"/>
  <c r="B92" i="82" s="1"/>
  <c r="B95" i="82"/>
  <c r="N94" i="82"/>
  <c r="M94" i="82"/>
  <c r="K94" i="82"/>
  <c r="J94" i="82" s="1"/>
  <c r="H94" i="82"/>
  <c r="F94" i="82"/>
  <c r="H101" i="82" s="1"/>
  <c r="D94" i="82"/>
  <c r="M91" i="82"/>
  <c r="N91" i="82" s="1"/>
  <c r="K91" i="82"/>
  <c r="J91" i="82"/>
  <c r="D91" i="82"/>
  <c r="B91" i="82"/>
  <c r="N90" i="82"/>
  <c r="M90" i="82"/>
  <c r="K90" i="82"/>
  <c r="J90" i="82" s="1"/>
  <c r="H90" i="82"/>
  <c r="D90" i="82"/>
  <c r="N89" i="82"/>
  <c r="M89" i="82"/>
  <c r="K89" i="82"/>
  <c r="J89" i="82" s="1"/>
  <c r="D89" i="82"/>
  <c r="B89" i="82"/>
  <c r="M88" i="82"/>
  <c r="N88" i="82" s="1"/>
  <c r="K88" i="82"/>
  <c r="J88" i="82"/>
  <c r="D88" i="82"/>
  <c r="B88" i="82"/>
  <c r="N87" i="82"/>
  <c r="M87" i="82"/>
  <c r="K87" i="82"/>
  <c r="J87" i="82" s="1"/>
  <c r="H87" i="82"/>
  <c r="D87" i="82"/>
  <c r="B87" i="82"/>
  <c r="M86" i="82"/>
  <c r="N86" i="82" s="1"/>
  <c r="K86" i="82"/>
  <c r="J86" i="82"/>
  <c r="D86" i="82"/>
  <c r="B86" i="82"/>
  <c r="N85" i="82"/>
  <c r="M85" i="82"/>
  <c r="K85" i="82"/>
  <c r="J85" i="82" s="1"/>
  <c r="D85" i="82"/>
  <c r="B85" i="82"/>
  <c r="M84" i="82"/>
  <c r="N84" i="82" s="1"/>
  <c r="K84" i="82"/>
  <c r="J84" i="82"/>
  <c r="F84" i="82"/>
  <c r="D84" i="82"/>
  <c r="B84" i="82"/>
  <c r="M81" i="82"/>
  <c r="N81" i="82" s="1"/>
  <c r="K81" i="82"/>
  <c r="J81" i="82"/>
  <c r="D81" i="82"/>
  <c r="M80" i="82"/>
  <c r="N80" i="82" s="1"/>
  <c r="K80" i="82"/>
  <c r="J80" i="82"/>
  <c r="D80" i="82"/>
  <c r="B80" i="82"/>
  <c r="N79" i="82"/>
  <c r="M79" i="82"/>
  <c r="K79" i="82"/>
  <c r="J79" i="82" s="1"/>
  <c r="D79" i="82"/>
  <c r="N78" i="82"/>
  <c r="M78" i="82"/>
  <c r="K78" i="82"/>
  <c r="J78" i="82" s="1"/>
  <c r="D78" i="82"/>
  <c r="B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M70" i="82"/>
  <c r="N70" i="82" s="1"/>
  <c r="K70" i="82"/>
  <c r="J70" i="82"/>
  <c r="D70" i="82"/>
  <c r="B70" i="82"/>
  <c r="N69" i="82"/>
  <c r="M69" i="82"/>
  <c r="K69" i="82"/>
  <c r="J69" i="82" s="1"/>
  <c r="D69" i="82"/>
  <c r="B69" i="82"/>
  <c r="M68" i="82"/>
  <c r="N68" i="82" s="1"/>
  <c r="K68" i="82"/>
  <c r="J68" i="82"/>
  <c r="D68" i="82"/>
  <c r="B68" i="82"/>
  <c r="N67" i="82"/>
  <c r="M67" i="82"/>
  <c r="K67" i="82"/>
  <c r="J67" i="82" s="1"/>
  <c r="D67" i="82"/>
  <c r="N66" i="82"/>
  <c r="M66" i="82"/>
  <c r="K66" i="82"/>
  <c r="J66" i="82" s="1"/>
  <c r="D66" i="82"/>
  <c r="B66" i="82"/>
  <c r="M65" i="82"/>
  <c r="N65" i="82" s="1"/>
  <c r="K65" i="82"/>
  <c r="J65" i="82"/>
  <c r="D65" i="82"/>
  <c r="M64" i="82"/>
  <c r="N64" i="82" s="1"/>
  <c r="K64" i="82"/>
  <c r="J64" i="82"/>
  <c r="D64" i="82"/>
  <c r="B64" i="82"/>
  <c r="N63" i="82"/>
  <c r="M63" i="82"/>
  <c r="K63" i="82"/>
  <c r="J63" i="82" s="1"/>
  <c r="D63" i="82"/>
  <c r="B63" i="82"/>
  <c r="M62" i="82"/>
  <c r="N62" i="82" s="1"/>
  <c r="K62" i="82"/>
  <c r="J62" i="82"/>
  <c r="F62" i="82"/>
  <c r="D62" i="82"/>
  <c r="B62" i="82"/>
  <c r="M59" i="82"/>
  <c r="N59" i="82" s="1"/>
  <c r="K59" i="82"/>
  <c r="J59" i="82"/>
  <c r="D59" i="82"/>
  <c r="B59" i="82"/>
  <c r="N58" i="82"/>
  <c r="M58" i="82"/>
  <c r="K58" i="82"/>
  <c r="J58" i="82" s="1"/>
  <c r="H58" i="82"/>
  <c r="D58" i="82"/>
  <c r="B58" i="82"/>
  <c r="M57" i="82"/>
  <c r="N57" i="82" s="1"/>
  <c r="K57" i="82"/>
  <c r="J57" i="82"/>
  <c r="D57" i="82"/>
  <c r="B57" i="82"/>
  <c r="N56" i="82"/>
  <c r="M56" i="82"/>
  <c r="K56" i="82"/>
  <c r="J56" i="82" s="1"/>
  <c r="D56" i="82"/>
  <c r="N55" i="82"/>
  <c r="M55" i="82"/>
  <c r="K55" i="82"/>
  <c r="J55" i="82" s="1"/>
  <c r="H55" i="82"/>
  <c r="D55" i="82"/>
  <c r="B55" i="82"/>
  <c r="M54" i="82"/>
  <c r="N54" i="82" s="1"/>
  <c r="K54" i="82"/>
  <c r="J54" i="82"/>
  <c r="D54" i="82"/>
  <c r="M53" i="82"/>
  <c r="N53" i="82" s="1"/>
  <c r="K53" i="82"/>
  <c r="J53" i="82"/>
  <c r="D53" i="82"/>
  <c r="B53" i="82"/>
  <c r="N52" i="82"/>
  <c r="M52" i="82"/>
  <c r="K52" i="82"/>
  <c r="J52" i="82" s="1"/>
  <c r="D52" i="82"/>
  <c r="B52" i="82"/>
  <c r="M51" i="82"/>
  <c r="N51" i="82" s="1"/>
  <c r="K51" i="82"/>
  <c r="J51" i="82"/>
  <c r="F51" i="82"/>
  <c r="D51" i="82"/>
  <c r="E51" i="82" s="1"/>
  <c r="B51" i="82"/>
  <c r="B49" i="82"/>
  <c r="H42" i="82"/>
  <c r="H41" i="82"/>
  <c r="F41" i="82"/>
  <c r="H40" i="82"/>
  <c r="H39" i="82"/>
  <c r="F39" i="82"/>
  <c r="H38" i="82"/>
  <c r="N37" i="82"/>
  <c r="L37" i="82"/>
  <c r="H37" i="82"/>
  <c r="Q36" i="82"/>
  <c r="P36" i="82"/>
  <c r="O36" i="82"/>
  <c r="N36" i="82"/>
  <c r="M36" i="82"/>
  <c r="P28" i="82"/>
  <c r="P26" i="82"/>
  <c r="F26" i="82"/>
  <c r="P25" i="82"/>
  <c r="M24" i="82"/>
  <c r="J24" i="82"/>
  <c r="I24" i="82"/>
  <c r="C24" i="82" s="1"/>
  <c r="G24" i="82"/>
  <c r="E44" i="82" s="1"/>
  <c r="C44" i="82" s="1"/>
  <c r="E24" i="82"/>
  <c r="O23" i="82"/>
  <c r="M23" i="82"/>
  <c r="I23" i="82"/>
  <c r="G23" i="82"/>
  <c r="P29" i="82" s="1"/>
  <c r="C23" i="82"/>
  <c r="C22" i="82"/>
  <c r="O21" i="82"/>
  <c r="M21" i="82"/>
  <c r="K21" i="82"/>
  <c r="I21" i="82"/>
  <c r="D21" i="82"/>
  <c r="C20" i="82"/>
  <c r="L18" i="82"/>
  <c r="I18" i="82"/>
  <c r="G18" i="82"/>
  <c r="E17" i="82" s="1"/>
  <c r="L17"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X7" i="82"/>
  <c r="C7" i="82"/>
  <c r="S6" i="82"/>
  <c r="S5" i="82"/>
  <c r="S3" i="82"/>
  <c r="G3" i="82"/>
  <c r="I2" i="82"/>
  <c r="M12" i="82" s="1"/>
  <c r="G2" i="82"/>
  <c r="M1" i="82"/>
  <c r="D1" i="82"/>
  <c r="E9" i="82" l="1"/>
  <c r="E8" i="82"/>
  <c r="E11" i="82"/>
  <c r="E10" i="82"/>
  <c r="P32" i="82"/>
  <c r="N32" i="82"/>
  <c r="M32" i="82"/>
  <c r="Q32" i="82"/>
  <c r="H70" i="82"/>
  <c r="H68" i="82"/>
  <c r="H67" i="82"/>
  <c r="H65" i="82"/>
  <c r="H64" i="82"/>
  <c r="H62" i="82"/>
  <c r="H63" i="82"/>
  <c r="H69" i="82"/>
  <c r="N1" i="82"/>
  <c r="H117" i="82"/>
  <c r="C27" i="82"/>
  <c r="M2" i="82"/>
  <c r="S2" i="82"/>
  <c r="B117" i="82"/>
  <c r="J26" i="82"/>
  <c r="G26" i="82"/>
  <c r="E26" i="82"/>
  <c r="D26" i="82" s="1"/>
  <c r="N3" i="82"/>
  <c r="M4" i="82"/>
  <c r="S4" i="82"/>
  <c r="N5" i="82"/>
  <c r="N6" i="82"/>
  <c r="N7" i="82"/>
  <c r="Z7" i="82"/>
  <c r="M8" i="82"/>
  <c r="M9" i="82"/>
  <c r="N10" i="82"/>
  <c r="N11" i="82"/>
  <c r="N12" i="82"/>
  <c r="C21" i="82"/>
  <c r="E21" i="82"/>
  <c r="H21" i="82"/>
  <c r="J21" i="82"/>
  <c r="L21" i="82"/>
  <c r="N21" i="82"/>
  <c r="C25" i="82"/>
  <c r="H26" i="82"/>
  <c r="P27" i="82"/>
  <c r="O32" i="82"/>
  <c r="F37" i="82"/>
  <c r="Q37" i="82"/>
  <c r="O37" i="82"/>
  <c r="M37" i="82"/>
  <c r="P37" i="82"/>
  <c r="F38" i="82"/>
  <c r="F40" i="82"/>
  <c r="F42" i="82"/>
  <c r="H59" i="82"/>
  <c r="H57" i="82"/>
  <c r="H54" i="82"/>
  <c r="H53" i="82"/>
  <c r="H51" i="82"/>
  <c r="H52" i="82"/>
  <c r="H56" i="82"/>
  <c r="E62" i="82"/>
  <c r="B60" i="82" s="1"/>
  <c r="H66" i="82"/>
  <c r="F73" i="82"/>
  <c r="E84" i="82"/>
  <c r="B82" i="82" s="1"/>
  <c r="N2" i="82"/>
  <c r="M3" i="82"/>
  <c r="N4" i="82"/>
  <c r="M5" i="82"/>
  <c r="M6" i="82"/>
  <c r="C6" i="82" s="1"/>
  <c r="M7" i="82"/>
  <c r="N8" i="82"/>
  <c r="N9" i="82"/>
  <c r="M10" i="82"/>
  <c r="M11" i="82"/>
  <c r="E73" i="82"/>
  <c r="B71" i="82" s="1"/>
  <c r="C28" i="82" s="1"/>
  <c r="H91" i="82"/>
  <c r="H88" i="82"/>
  <c r="H86" i="82"/>
  <c r="H84" i="82"/>
  <c r="H85" i="82"/>
  <c r="H89" i="82"/>
  <c r="H95" i="82"/>
  <c r="H98" i="82"/>
  <c r="H99" i="82"/>
  <c r="F117" i="81"/>
  <c r="N113" i="81"/>
  <c r="F113" i="81"/>
  <c r="N112" i="81"/>
  <c r="M112" i="81"/>
  <c r="M113" i="81" s="1"/>
  <c r="L112" i="81"/>
  <c r="L113" i="81" s="1"/>
  <c r="K112" i="81"/>
  <c r="K113" i="81" s="1"/>
  <c r="J112" i="81"/>
  <c r="J113" i="81" s="1"/>
  <c r="I112" i="81"/>
  <c r="I113" i="81" s="1"/>
  <c r="H112" i="81"/>
  <c r="H113" i="81" s="1"/>
  <c r="G112" i="81"/>
  <c r="G113" i="81" s="1"/>
  <c r="F112" i="81"/>
  <c r="E112" i="81"/>
  <c r="E113" i="81" s="1"/>
  <c r="D112" i="81"/>
  <c r="D113" i="81" s="1"/>
  <c r="C112" i="81"/>
  <c r="C113" i="81" s="1"/>
  <c r="N102" i="81"/>
  <c r="M102" i="81"/>
  <c r="K102" i="81"/>
  <c r="J102" i="81" s="1"/>
  <c r="D102" i="81"/>
  <c r="B102" i="81"/>
  <c r="M101" i="81"/>
  <c r="N101" i="81" s="1"/>
  <c r="K101" i="81"/>
  <c r="J101" i="81"/>
  <c r="D101" i="81"/>
  <c r="B101" i="81"/>
  <c r="N100" i="81"/>
  <c r="M100" i="81"/>
  <c r="K100" i="81"/>
  <c r="J100" i="81" s="1"/>
  <c r="D100" i="81"/>
  <c r="B100" i="81"/>
  <c r="M99" i="81"/>
  <c r="N99" i="81" s="1"/>
  <c r="K99" i="81"/>
  <c r="J99" i="81"/>
  <c r="D99" i="81"/>
  <c r="M98" i="81"/>
  <c r="N98" i="81" s="1"/>
  <c r="K98" i="81"/>
  <c r="J98" i="81"/>
  <c r="D98" i="81"/>
  <c r="B98" i="81"/>
  <c r="N97" i="81"/>
  <c r="M97" i="81"/>
  <c r="K97" i="81"/>
  <c r="J97" i="81" s="1"/>
  <c r="D97" i="81"/>
  <c r="N96" i="81"/>
  <c r="M96" i="81"/>
  <c r="K96" i="81"/>
  <c r="J96" i="81" s="1"/>
  <c r="D96" i="81"/>
  <c r="B96" i="81"/>
  <c r="M95" i="81"/>
  <c r="N95" i="81" s="1"/>
  <c r="K95" i="81"/>
  <c r="J95" i="81"/>
  <c r="D95" i="81"/>
  <c r="E94" i="81" s="1"/>
  <c r="B92" i="81" s="1"/>
  <c r="B95" i="81"/>
  <c r="N94" i="81"/>
  <c r="M94" i="81"/>
  <c r="K94" i="81"/>
  <c r="J94" i="81" s="1"/>
  <c r="F94" i="81"/>
  <c r="H101" i="81" s="1"/>
  <c r="D94" i="81"/>
  <c r="M91" i="81"/>
  <c r="N91" i="81" s="1"/>
  <c r="K91" i="81"/>
  <c r="J91" i="81"/>
  <c r="D91" i="81"/>
  <c r="B91" i="81"/>
  <c r="N90" i="81"/>
  <c r="M90" i="81"/>
  <c r="K90" i="81"/>
  <c r="J90" i="81" s="1"/>
  <c r="D90" i="81"/>
  <c r="N89" i="81"/>
  <c r="M89" i="81"/>
  <c r="K89" i="81"/>
  <c r="J89" i="81" s="1"/>
  <c r="D89" i="81"/>
  <c r="B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E84" i="81" s="1"/>
  <c r="B84" i="81"/>
  <c r="B82" i="81"/>
  <c r="C28" i="81" s="1"/>
  <c r="M81" i="81"/>
  <c r="N81" i="81" s="1"/>
  <c r="K81" i="81"/>
  <c r="J81" i="81"/>
  <c r="D81" i="81"/>
  <c r="M80" i="81"/>
  <c r="N80" i="81" s="1"/>
  <c r="K80" i="81"/>
  <c r="J80" i="81"/>
  <c r="D80" i="81"/>
  <c r="B80" i="81"/>
  <c r="N79" i="81"/>
  <c r="M79" i="81"/>
  <c r="K79" i="81"/>
  <c r="J79" i="81" s="1"/>
  <c r="D79" i="81"/>
  <c r="N78" i="81"/>
  <c r="M78" i="81"/>
  <c r="K78" i="81"/>
  <c r="J78" i="81" s="1"/>
  <c r="D78" i="81"/>
  <c r="B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M70" i="81"/>
  <c r="N70" i="81" s="1"/>
  <c r="K70" i="81"/>
  <c r="J70" i="81"/>
  <c r="D70" i="81"/>
  <c r="B70" i="81"/>
  <c r="N69" i="81"/>
  <c r="M69" i="81"/>
  <c r="K69" i="81"/>
  <c r="J69" i="81" s="1"/>
  <c r="D69" i="81"/>
  <c r="B69" i="81"/>
  <c r="M68" i="81"/>
  <c r="N68" i="81" s="1"/>
  <c r="K68" i="81"/>
  <c r="J68" i="81"/>
  <c r="D68" i="81"/>
  <c r="B68" i="81"/>
  <c r="N67" i="81"/>
  <c r="M67" i="81"/>
  <c r="K67" i="81"/>
  <c r="J67" i="81" s="1"/>
  <c r="D67" i="81"/>
  <c r="N66" i="81"/>
  <c r="M66" i="81"/>
  <c r="K66" i="81"/>
  <c r="J66" i="81" s="1"/>
  <c r="D66" i="81"/>
  <c r="B66" i="81"/>
  <c r="M65" i="81"/>
  <c r="N65" i="81" s="1"/>
  <c r="K65" i="81"/>
  <c r="J65" i="81"/>
  <c r="D65" i="81"/>
  <c r="M64" i="81"/>
  <c r="N64" i="81" s="1"/>
  <c r="K64" i="81"/>
  <c r="J64" i="81"/>
  <c r="D64" i="81"/>
  <c r="B64" i="81"/>
  <c r="N63" i="81"/>
  <c r="M63" i="81"/>
  <c r="K63" i="81"/>
  <c r="J63" i="81" s="1"/>
  <c r="D63" i="81"/>
  <c r="B63" i="81"/>
  <c r="M62" i="81"/>
  <c r="N62" i="81" s="1"/>
  <c r="K62" i="81"/>
  <c r="J62" i="81"/>
  <c r="F62" i="81"/>
  <c r="H66" i="81" s="1"/>
  <c r="D62" i="81"/>
  <c r="E62" i="81" s="1"/>
  <c r="B62" i="81"/>
  <c r="B60" i="81"/>
  <c r="M59" i="81"/>
  <c r="N59" i="81" s="1"/>
  <c r="K59" i="81"/>
  <c r="J59" i="81"/>
  <c r="D59" i="81"/>
  <c r="B59" i="81"/>
  <c r="N58" i="81"/>
  <c r="M58" i="81"/>
  <c r="K58" i="81"/>
  <c r="J58" i="81" s="1"/>
  <c r="D58" i="81"/>
  <c r="B58" i="81"/>
  <c r="M57" i="81"/>
  <c r="N57" i="81" s="1"/>
  <c r="K57" i="81"/>
  <c r="J57" i="81"/>
  <c r="D57" i="81"/>
  <c r="B57" i="81"/>
  <c r="N56" i="81"/>
  <c r="M56" i="81"/>
  <c r="K56" i="81"/>
  <c r="J56" i="81" s="1"/>
  <c r="D56" i="81"/>
  <c r="N55" i="81"/>
  <c r="M55" i="81"/>
  <c r="K55" i="81"/>
  <c r="J55" i="81" s="1"/>
  <c r="D55" i="81"/>
  <c r="B55" i="81"/>
  <c r="M54" i="81"/>
  <c r="N54" i="81" s="1"/>
  <c r="K54" i="81"/>
  <c r="J54" i="81"/>
  <c r="D54" i="81"/>
  <c r="M53" i="81"/>
  <c r="N53" i="81" s="1"/>
  <c r="K53" i="81"/>
  <c r="J53" i="81"/>
  <c r="D53" i="81"/>
  <c r="B53" i="81"/>
  <c r="N52" i="81"/>
  <c r="M52" i="81"/>
  <c r="K52" i="81"/>
  <c r="J52" i="81" s="1"/>
  <c r="D52" i="81"/>
  <c r="B52" i="81"/>
  <c r="M51" i="81"/>
  <c r="N51" i="81" s="1"/>
  <c r="K51" i="81"/>
  <c r="J51" i="81"/>
  <c r="F51" i="81"/>
  <c r="D51" i="81"/>
  <c r="B51" i="81"/>
  <c r="H42" i="81"/>
  <c r="H41" i="81"/>
  <c r="H40" i="81"/>
  <c r="H39" i="81"/>
  <c r="H38" i="81"/>
  <c r="L37" i="81"/>
  <c r="H37" i="81"/>
  <c r="Q36" i="81"/>
  <c r="P36" i="81"/>
  <c r="O36" i="81"/>
  <c r="N36" i="81"/>
  <c r="M36" i="81"/>
  <c r="P27" i="81"/>
  <c r="P25" i="81"/>
  <c r="M24" i="81"/>
  <c r="J24" i="81"/>
  <c r="G24" i="81"/>
  <c r="E44" i="81" s="1"/>
  <c r="C44" i="81" s="1"/>
  <c r="E24" i="81"/>
  <c r="O23" i="81"/>
  <c r="M23" i="81"/>
  <c r="I23" i="81"/>
  <c r="G23" i="81"/>
  <c r="P29" i="81" s="1"/>
  <c r="C23" i="81"/>
  <c r="C22" i="81"/>
  <c r="C20" i="81"/>
  <c r="L18" i="81"/>
  <c r="L17"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I2" i="81"/>
  <c r="M12" i="81" s="1"/>
  <c r="G2" i="81"/>
  <c r="F38" i="81" s="1"/>
  <c r="M1" i="81"/>
  <c r="D1" i="81"/>
  <c r="D5" i="82" l="1"/>
  <c r="H81" i="82"/>
  <c r="H80" i="82"/>
  <c r="H77" i="82"/>
  <c r="H75" i="82"/>
  <c r="H73" i="82"/>
  <c r="H79" i="82"/>
  <c r="H76" i="82"/>
  <c r="H74" i="82"/>
  <c r="H78" i="82"/>
  <c r="D123" i="82"/>
  <c r="E123" i="82" s="1"/>
  <c r="F123" i="82" s="1"/>
  <c r="G123" i="82" s="1"/>
  <c r="H123" i="82" s="1"/>
  <c r="B123" i="82"/>
  <c r="C123" i="82" s="1"/>
  <c r="D122" i="82"/>
  <c r="E122" i="82" s="1"/>
  <c r="F122" i="82" s="1"/>
  <c r="B122" i="82"/>
  <c r="C122" i="82" s="1"/>
  <c r="D121" i="82"/>
  <c r="E121" i="82" s="1"/>
  <c r="F121" i="82" s="1"/>
  <c r="G121" i="82" s="1"/>
  <c r="H121" i="82" s="1"/>
  <c r="B121" i="82"/>
  <c r="C121" i="82" s="1"/>
  <c r="D120" i="82"/>
  <c r="E120" i="82" s="1"/>
  <c r="F120" i="82" s="1"/>
  <c r="G120" i="82" s="1"/>
  <c r="H120" i="82" s="1"/>
  <c r="B120" i="82"/>
  <c r="C120" i="82" s="1"/>
  <c r="D119" i="82"/>
  <c r="E119" i="82" s="1"/>
  <c r="F119" i="82" s="1"/>
  <c r="G119" i="82" s="1"/>
  <c r="H119" i="82" s="1"/>
  <c r="B119" i="82"/>
  <c r="C119" i="82" s="1"/>
  <c r="I123" i="82"/>
  <c r="J123" i="82" s="1"/>
  <c r="K123" i="82" s="1"/>
  <c r="L123" i="82" s="1"/>
  <c r="M123"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G122" i="82"/>
  <c r="H122" i="82" s="1"/>
  <c r="D117" i="82"/>
  <c r="C5" i="81"/>
  <c r="G21" i="82"/>
  <c r="S6" i="81"/>
  <c r="X7" i="81"/>
  <c r="D21" i="81"/>
  <c r="O21" i="81"/>
  <c r="F42" i="81"/>
  <c r="S3" i="81"/>
  <c r="G18" i="81"/>
  <c r="K21" i="81"/>
  <c r="H96" i="81"/>
  <c r="H100" i="81"/>
  <c r="S5" i="81"/>
  <c r="I18" i="81"/>
  <c r="I21" i="81"/>
  <c r="M21" i="81"/>
  <c r="F37" i="81"/>
  <c r="F40" i="81"/>
  <c r="H94" i="81"/>
  <c r="H97" i="81"/>
  <c r="H102" i="81"/>
  <c r="E9" i="81"/>
  <c r="E8" i="81"/>
  <c r="E11" i="81"/>
  <c r="E10" i="81"/>
  <c r="P32" i="81"/>
  <c r="N32" i="81"/>
  <c r="O32" i="81"/>
  <c r="Q37" i="81"/>
  <c r="O37" i="81"/>
  <c r="M37" i="81"/>
  <c r="P37" i="81"/>
  <c r="H59" i="81"/>
  <c r="H57" i="81"/>
  <c r="H54" i="81"/>
  <c r="H53" i="81"/>
  <c r="H51" i="81"/>
  <c r="H52" i="81"/>
  <c r="H56" i="81"/>
  <c r="N1" i="81"/>
  <c r="H117" i="81"/>
  <c r="C27" i="81"/>
  <c r="M2" i="81"/>
  <c r="S2" i="81"/>
  <c r="N3" i="81"/>
  <c r="M4" i="81"/>
  <c r="S4" i="81"/>
  <c r="N5" i="81"/>
  <c r="N6" i="81"/>
  <c r="F84" i="81" s="1"/>
  <c r="N7" i="81"/>
  <c r="M8" i="81"/>
  <c r="M9" i="81"/>
  <c r="N10" i="81"/>
  <c r="N11" i="81"/>
  <c r="N12" i="81"/>
  <c r="C21" i="81"/>
  <c r="E21" i="81"/>
  <c r="H21" i="81"/>
  <c r="J21" i="81"/>
  <c r="L21" i="81"/>
  <c r="N21" i="81"/>
  <c r="P26" i="81"/>
  <c r="P28" i="81"/>
  <c r="M32" i="81"/>
  <c r="Q32" i="81"/>
  <c r="N37" i="81"/>
  <c r="F39" i="81"/>
  <c r="F41" i="81"/>
  <c r="E51" i="81"/>
  <c r="B49" i="81" s="1"/>
  <c r="H55" i="81"/>
  <c r="H58" i="81"/>
  <c r="H70" i="81"/>
  <c r="H68" i="81"/>
  <c r="H67" i="81"/>
  <c r="H65" i="81"/>
  <c r="H64" i="81"/>
  <c r="H62" i="81"/>
  <c r="H63" i="81"/>
  <c r="H69" i="81"/>
  <c r="N2" i="81"/>
  <c r="M3" i="81"/>
  <c r="N4" i="81"/>
  <c r="M5" i="81"/>
  <c r="M6" i="81"/>
  <c r="C6" i="81" s="1"/>
  <c r="M7" i="81"/>
  <c r="N8" i="81"/>
  <c r="N9" i="81"/>
  <c r="M10" i="81"/>
  <c r="M11" i="81"/>
  <c r="E73" i="81"/>
  <c r="B71" i="81" s="1"/>
  <c r="H95" i="81"/>
  <c r="H98" i="81"/>
  <c r="H99" i="81"/>
  <c r="F117" i="80"/>
  <c r="L113" i="80"/>
  <c r="H113" i="80"/>
  <c r="D113" i="80"/>
  <c r="N112" i="80"/>
  <c r="N113" i="80" s="1"/>
  <c r="M112" i="80"/>
  <c r="M113" i="80" s="1"/>
  <c r="L112" i="80"/>
  <c r="K112" i="80"/>
  <c r="K113" i="80" s="1"/>
  <c r="J112" i="80"/>
  <c r="J113" i="80" s="1"/>
  <c r="I112" i="80"/>
  <c r="I113" i="80" s="1"/>
  <c r="H112" i="80"/>
  <c r="G112" i="80"/>
  <c r="G113" i="80" s="1"/>
  <c r="F112" i="80"/>
  <c r="F113" i="80" s="1"/>
  <c r="E112" i="80"/>
  <c r="E113" i="80" s="1"/>
  <c r="D112" i="80"/>
  <c r="C112" i="80"/>
  <c r="C113" i="80" s="1"/>
  <c r="N102" i="80"/>
  <c r="M102" i="80"/>
  <c r="K102" i="80"/>
  <c r="J102" i="80" s="1"/>
  <c r="D102" i="80"/>
  <c r="B102" i="80"/>
  <c r="M101" i="80"/>
  <c r="N101" i="80" s="1"/>
  <c r="K101" i="80"/>
  <c r="J101" i="80"/>
  <c r="D101" i="80"/>
  <c r="B101" i="80"/>
  <c r="N100" i="80"/>
  <c r="M100" i="80"/>
  <c r="K100" i="80"/>
  <c r="J100" i="80" s="1"/>
  <c r="D100" i="80"/>
  <c r="B100" i="80"/>
  <c r="M99" i="80"/>
  <c r="N99" i="80" s="1"/>
  <c r="K99" i="80"/>
  <c r="J99" i="80"/>
  <c r="D99" i="80"/>
  <c r="M98" i="80"/>
  <c r="N98" i="80" s="1"/>
  <c r="K98" i="80"/>
  <c r="J98" i="80"/>
  <c r="D98" i="80"/>
  <c r="B98" i="80"/>
  <c r="N97" i="80"/>
  <c r="M97" i="80"/>
  <c r="K97" i="80"/>
  <c r="J97" i="80" s="1"/>
  <c r="D97" i="80"/>
  <c r="N96" i="80"/>
  <c r="M96" i="80"/>
  <c r="K96" i="80"/>
  <c r="J96" i="80" s="1"/>
  <c r="D96" i="80"/>
  <c r="B96" i="80"/>
  <c r="M95" i="80"/>
  <c r="N95" i="80" s="1"/>
  <c r="K95" i="80"/>
  <c r="J95" i="80"/>
  <c r="D95" i="80"/>
  <c r="B95" i="80"/>
  <c r="N94" i="80"/>
  <c r="M94" i="80"/>
  <c r="K94" i="80"/>
  <c r="J94" i="80" s="1"/>
  <c r="F94" i="80"/>
  <c r="H101" i="80" s="1"/>
  <c r="E94" i="80"/>
  <c r="D94" i="80"/>
  <c r="B92" i="80"/>
  <c r="M91" i="80"/>
  <c r="N91" i="80" s="1"/>
  <c r="K91" i="80"/>
  <c r="J91" i="80"/>
  <c r="D91" i="80"/>
  <c r="B91" i="80"/>
  <c r="N90" i="80"/>
  <c r="M90" i="80"/>
  <c r="K90" i="80"/>
  <c r="J90" i="80" s="1"/>
  <c r="D90" i="80"/>
  <c r="N89" i="80"/>
  <c r="M89" i="80"/>
  <c r="K89" i="80"/>
  <c r="J89" i="80" s="1"/>
  <c r="D89" i="80"/>
  <c r="B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M81" i="80"/>
  <c r="N81" i="80" s="1"/>
  <c r="K81" i="80"/>
  <c r="J81" i="80"/>
  <c r="D81" i="80"/>
  <c r="M80" i="80"/>
  <c r="N80" i="80" s="1"/>
  <c r="K80" i="80"/>
  <c r="J80" i="80"/>
  <c r="D80" i="80"/>
  <c r="B80" i="80"/>
  <c r="N79" i="80"/>
  <c r="M79" i="80"/>
  <c r="K79" i="80"/>
  <c r="J79" i="80" s="1"/>
  <c r="D79" i="80"/>
  <c r="N78" i="80"/>
  <c r="M78" i="80"/>
  <c r="K78" i="80"/>
  <c r="J78" i="80" s="1"/>
  <c r="D78" i="80"/>
  <c r="B78" i="80"/>
  <c r="M77" i="80"/>
  <c r="N77" i="80" s="1"/>
  <c r="K77" i="80"/>
  <c r="J77" i="80"/>
  <c r="D77" i="80"/>
  <c r="B77" i="80"/>
  <c r="N76" i="80"/>
  <c r="M76" i="80"/>
  <c r="K76" i="80"/>
  <c r="J76" i="80" s="1"/>
  <c r="D76" i="80"/>
  <c r="B76" i="80"/>
  <c r="M75" i="80"/>
  <c r="N75" i="80" s="1"/>
  <c r="K75" i="80"/>
  <c r="J75" i="80"/>
  <c r="D75" i="80"/>
  <c r="B75" i="80"/>
  <c r="N74" i="80"/>
  <c r="M74" i="80"/>
  <c r="K74" i="80"/>
  <c r="J74" i="80" s="1"/>
  <c r="D74" i="80"/>
  <c r="B74" i="80"/>
  <c r="M73" i="80"/>
  <c r="N73" i="80" s="1"/>
  <c r="K73" i="80"/>
  <c r="J73" i="80"/>
  <c r="F73" i="80"/>
  <c r="H79" i="80" s="1"/>
  <c r="D73" i="80"/>
  <c r="E73" i="80" s="1"/>
  <c r="B73" i="80"/>
  <c r="B71" i="80"/>
  <c r="M70" i="80"/>
  <c r="N70" i="80" s="1"/>
  <c r="K70" i="80"/>
  <c r="J70" i="80"/>
  <c r="D70" i="80"/>
  <c r="B70" i="80"/>
  <c r="N69" i="80"/>
  <c r="M69" i="80"/>
  <c r="K69" i="80"/>
  <c r="J69" i="80" s="1"/>
  <c r="D69" i="80"/>
  <c r="B69" i="80"/>
  <c r="M68" i="80"/>
  <c r="N68" i="80" s="1"/>
  <c r="K68" i="80"/>
  <c r="J68" i="80"/>
  <c r="D68" i="80"/>
  <c r="B68" i="80"/>
  <c r="N67" i="80"/>
  <c r="M67" i="80"/>
  <c r="K67" i="80"/>
  <c r="J67" i="80" s="1"/>
  <c r="D67" i="80"/>
  <c r="N66" i="80"/>
  <c r="M66" i="80"/>
  <c r="K66" i="80"/>
  <c r="J66" i="80" s="1"/>
  <c r="D66" i="80"/>
  <c r="B66" i="80"/>
  <c r="N65" i="80"/>
  <c r="M65" i="80"/>
  <c r="K65" i="80"/>
  <c r="J65" i="80" s="1"/>
  <c r="D65" i="80"/>
  <c r="N64" i="80"/>
  <c r="M64" i="80"/>
  <c r="K64" i="80"/>
  <c r="J64" i="80" s="1"/>
  <c r="D64" i="80"/>
  <c r="B64" i="80"/>
  <c r="M63" i="80"/>
  <c r="N63" i="80" s="1"/>
  <c r="K63" i="80"/>
  <c r="J63" i="80"/>
  <c r="D63" i="80"/>
  <c r="B63" i="80"/>
  <c r="N62" i="80"/>
  <c r="M62" i="80"/>
  <c r="K62" i="80"/>
  <c r="J62" i="80" s="1"/>
  <c r="H62" i="80"/>
  <c r="F62" i="80"/>
  <c r="H64" i="80" s="1"/>
  <c r="E62" i="80"/>
  <c r="B60" i="80" s="1"/>
  <c r="D62" i="80"/>
  <c r="B62" i="80"/>
  <c r="N59" i="80"/>
  <c r="M59" i="80"/>
  <c r="K59" i="80"/>
  <c r="J59" i="80" s="1"/>
  <c r="D59" i="80"/>
  <c r="B59" i="80"/>
  <c r="M58" i="80"/>
  <c r="N58" i="80" s="1"/>
  <c r="K58" i="80"/>
  <c r="J58" i="80"/>
  <c r="D58" i="80"/>
  <c r="B58" i="80"/>
  <c r="N57" i="80"/>
  <c r="M57" i="80"/>
  <c r="K57" i="80"/>
  <c r="J57" i="80" s="1"/>
  <c r="D57" i="80"/>
  <c r="B57" i="80"/>
  <c r="M56" i="80"/>
  <c r="N56" i="80" s="1"/>
  <c r="K56" i="80"/>
  <c r="J56" i="80"/>
  <c r="D56" i="80"/>
  <c r="M55" i="80"/>
  <c r="N55" i="80" s="1"/>
  <c r="K55" i="80"/>
  <c r="J55" i="80"/>
  <c r="D55" i="80"/>
  <c r="B55" i="80"/>
  <c r="N54" i="80"/>
  <c r="M54" i="80"/>
  <c r="K54" i="80"/>
  <c r="J54" i="80" s="1"/>
  <c r="D54" i="80"/>
  <c r="N53" i="80"/>
  <c r="M53" i="80"/>
  <c r="K53" i="80"/>
  <c r="J53" i="80" s="1"/>
  <c r="D53" i="80"/>
  <c r="B53" i="80"/>
  <c r="M52" i="80"/>
  <c r="N52" i="80" s="1"/>
  <c r="K52" i="80"/>
  <c r="J52" i="80"/>
  <c r="D52" i="80"/>
  <c r="B52" i="80"/>
  <c r="N51" i="80"/>
  <c r="M51" i="80"/>
  <c r="K51" i="80"/>
  <c r="J51" i="80" s="1"/>
  <c r="E51" i="80"/>
  <c r="B49" i="80" s="1"/>
  <c r="C28" i="80" s="1"/>
  <c r="D51" i="80"/>
  <c r="B51" i="80"/>
  <c r="E44" i="80"/>
  <c r="C44" i="80" s="1"/>
  <c r="H42" i="80"/>
  <c r="H41" i="80"/>
  <c r="H40" i="80"/>
  <c r="H39" i="80"/>
  <c r="H38" i="80"/>
  <c r="Q37" i="80"/>
  <c r="O37" i="80"/>
  <c r="M37" i="80"/>
  <c r="L37" i="80"/>
  <c r="P37" i="80" s="1"/>
  <c r="H37" i="80"/>
  <c r="Q36" i="80"/>
  <c r="P36" i="80"/>
  <c r="O36" i="80"/>
  <c r="N36" i="80"/>
  <c r="M36" i="80"/>
  <c r="P29" i="80"/>
  <c r="P25" i="80"/>
  <c r="M24" i="80"/>
  <c r="J24" i="80"/>
  <c r="G24" i="80"/>
  <c r="E24" i="80"/>
  <c r="Q32" i="80" s="1"/>
  <c r="O23" i="80"/>
  <c r="M23" i="80"/>
  <c r="I23" i="80"/>
  <c r="G23" i="80"/>
  <c r="P28" i="80" s="1"/>
  <c r="C23" i="80"/>
  <c r="C22" i="80"/>
  <c r="C20" i="80"/>
  <c r="L18" i="80"/>
  <c r="I18" i="80"/>
  <c r="G18" i="80"/>
  <c r="L17" i="80"/>
  <c r="G17" i="80"/>
  <c r="E17" i="80"/>
  <c r="C17" i="80"/>
  <c r="C13" i="80"/>
  <c r="M11"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C7" i="80"/>
  <c r="M5" i="80"/>
  <c r="N2" i="80"/>
  <c r="I2" i="80"/>
  <c r="M12" i="80" s="1"/>
  <c r="G2" i="80"/>
  <c r="H117" i="80" s="1"/>
  <c r="M1" i="80"/>
  <c r="D1" i="80"/>
  <c r="I13" i="3"/>
  <c r="F19" i="6" s="1"/>
  <c r="C41" i="82" l="1"/>
  <c r="C39" i="82"/>
  <c r="C42" i="82"/>
  <c r="C40" i="82"/>
  <c r="C38" i="82"/>
  <c r="C37" i="82"/>
  <c r="C33" i="82"/>
  <c r="T12" i="82"/>
  <c r="V12" i="82" s="1"/>
  <c r="T11" i="82"/>
  <c r="V11" i="82" s="1"/>
  <c r="T10" i="82"/>
  <c r="V10" i="82" s="1"/>
  <c r="T7" i="82"/>
  <c r="V7" i="82" s="1"/>
  <c r="T4" i="82"/>
  <c r="V4" i="82" s="1"/>
  <c r="T2" i="82"/>
  <c r="V2" i="82" s="1"/>
  <c r="T16" i="82"/>
  <c r="V16" i="82" s="1"/>
  <c r="T15" i="82"/>
  <c r="V15" i="82" s="1"/>
  <c r="T14" i="82"/>
  <c r="V14" i="82" s="1"/>
  <c r="T13" i="82"/>
  <c r="V13" i="82" s="1"/>
  <c r="T9" i="82"/>
  <c r="V9" i="82" s="1"/>
  <c r="T8" i="82"/>
  <c r="V8" i="82" s="1"/>
  <c r="T6" i="82"/>
  <c r="V6" i="82" s="1"/>
  <c r="T5" i="82"/>
  <c r="V5" i="82" s="1"/>
  <c r="T3" i="82"/>
  <c r="V3" i="82" s="1"/>
  <c r="E17" i="81"/>
  <c r="F73" i="81"/>
  <c r="D5" i="81"/>
  <c r="H91" i="81"/>
  <c r="H88" i="81"/>
  <c r="H86" i="81"/>
  <c r="H84" i="81"/>
  <c r="H89" i="81"/>
  <c r="H85" i="81"/>
  <c r="H90" i="81"/>
  <c r="H87" i="81"/>
  <c r="G21" i="81"/>
  <c r="M3" i="80"/>
  <c r="H65" i="80"/>
  <c r="H67" i="80"/>
  <c r="S3" i="80"/>
  <c r="S5" i="80"/>
  <c r="I21" i="80"/>
  <c r="M21" i="80"/>
  <c r="C27" i="80"/>
  <c r="H76" i="80"/>
  <c r="H96" i="80"/>
  <c r="H100" i="80"/>
  <c r="S6" i="80"/>
  <c r="X7" i="80"/>
  <c r="D21" i="80"/>
  <c r="K21" i="80"/>
  <c r="O21" i="80"/>
  <c r="H94" i="80"/>
  <c r="H97" i="80"/>
  <c r="H102" i="80"/>
  <c r="E11" i="80"/>
  <c r="E10" i="80"/>
  <c r="E9" i="80"/>
  <c r="E8" i="80"/>
  <c r="N12" i="80"/>
  <c r="N11" i="80"/>
  <c r="N10" i="80"/>
  <c r="M9" i="80"/>
  <c r="M8" i="80"/>
  <c r="N7" i="80"/>
  <c r="N6" i="80"/>
  <c r="F84" i="80" s="1"/>
  <c r="H91" i="80" s="1"/>
  <c r="N5" i="80"/>
  <c r="M4" i="80"/>
  <c r="N3" i="80"/>
  <c r="M2" i="80"/>
  <c r="N1" i="80"/>
  <c r="N4" i="80"/>
  <c r="M6" i="80"/>
  <c r="M7" i="80"/>
  <c r="N8" i="80"/>
  <c r="N9" i="80"/>
  <c r="M10" i="80"/>
  <c r="F51" i="80"/>
  <c r="N32" i="80"/>
  <c r="P32" i="80"/>
  <c r="S2" i="80"/>
  <c r="S4" i="80"/>
  <c r="C6" i="80"/>
  <c r="C21" i="80"/>
  <c r="E21" i="80"/>
  <c r="H21" i="80"/>
  <c r="J21" i="80"/>
  <c r="L21" i="80"/>
  <c r="N21" i="80"/>
  <c r="P26" i="80"/>
  <c r="P27" i="80"/>
  <c r="M32" i="80"/>
  <c r="O32" i="80"/>
  <c r="F37" i="80"/>
  <c r="N37" i="80"/>
  <c r="F38" i="80"/>
  <c r="F39" i="80"/>
  <c r="F40" i="80"/>
  <c r="F41" i="80"/>
  <c r="F42" i="80"/>
  <c r="H70" i="80"/>
  <c r="H68" i="80"/>
  <c r="H63" i="80"/>
  <c r="H66" i="80"/>
  <c r="H69" i="80"/>
  <c r="H81" i="80"/>
  <c r="H80" i="80"/>
  <c r="H77" i="80"/>
  <c r="H75" i="80"/>
  <c r="H73" i="80"/>
  <c r="H74" i="80"/>
  <c r="H78" i="80"/>
  <c r="E84" i="80"/>
  <c r="B82" i="80" s="1"/>
  <c r="H95" i="80"/>
  <c r="H98" i="80"/>
  <c r="H99" i="80"/>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G37" i="82" l="1"/>
  <c r="I37" i="82" s="1"/>
  <c r="E37" i="82"/>
  <c r="G40" i="82"/>
  <c r="I40" i="82" s="1"/>
  <c r="E40" i="82"/>
  <c r="G39" i="82"/>
  <c r="I39" i="82" s="1"/>
  <c r="E39" i="82"/>
  <c r="C34" i="82"/>
  <c r="E34" i="82" s="1"/>
  <c r="E33" i="82"/>
  <c r="G38" i="82"/>
  <c r="I38" i="82" s="1"/>
  <c r="E38" i="82"/>
  <c r="G42" i="82"/>
  <c r="I42" i="82" s="1"/>
  <c r="E42" i="82"/>
  <c r="G41" i="82"/>
  <c r="I41" i="82" s="1"/>
  <c r="E41" i="82"/>
  <c r="H81" i="81"/>
  <c r="H77" i="81"/>
  <c r="H73" i="81"/>
  <c r="H76" i="81"/>
  <c r="H80" i="81"/>
  <c r="H75" i="81"/>
  <c r="H79" i="81"/>
  <c r="H74" i="81"/>
  <c r="H78" i="81"/>
  <c r="C42" i="81"/>
  <c r="C41" i="81"/>
  <c r="H84" i="80"/>
  <c r="H90" i="80"/>
  <c r="H89" i="80"/>
  <c r="H88" i="80"/>
  <c r="H87" i="80"/>
  <c r="H85" i="80"/>
  <c r="H86" i="80"/>
  <c r="H58" i="80"/>
  <c r="H56" i="80"/>
  <c r="H55" i="80"/>
  <c r="H52" i="80"/>
  <c r="H59" i="80"/>
  <c r="H57" i="80"/>
  <c r="H54" i="80"/>
  <c r="H53" i="80"/>
  <c r="H51" i="80"/>
  <c r="G21" i="80"/>
  <c r="D5" i="80"/>
  <c r="C5" i="80"/>
  <c r="Z3" i="78"/>
  <c r="Z20" i="78"/>
  <c r="AB20" i="78"/>
  <c r="G20" i="78"/>
  <c r="F20" i="78"/>
  <c r="I20" i="78" s="1"/>
  <c r="E20" i="78"/>
  <c r="H3" i="78"/>
  <c r="G3" i="78"/>
  <c r="F3" i="78"/>
  <c r="I3" i="78" s="1"/>
  <c r="E3" i="78"/>
  <c r="D3" i="78"/>
  <c r="AC3" i="78"/>
  <c r="AB3" i="78"/>
  <c r="AA3" i="78"/>
  <c r="AD3" i="78" s="1"/>
  <c r="Y3" i="78"/>
  <c r="C30" i="82" l="1"/>
  <c r="B2" i="82" s="1"/>
  <c r="B3" i="82" s="1"/>
  <c r="C31" i="82"/>
  <c r="G41" i="81"/>
  <c r="I41" i="81" s="1"/>
  <c r="E41" i="81"/>
  <c r="G42" i="81"/>
  <c r="I42" i="81" s="1"/>
  <c r="E42" i="81"/>
  <c r="C42" i="80"/>
  <c r="C41" i="80"/>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G41" i="80" l="1"/>
  <c r="I41" i="80" s="1"/>
  <c r="E41" i="80"/>
  <c r="G42" i="80"/>
  <c r="I42" i="80" s="1"/>
  <c r="E42" i="80"/>
  <c r="R5" i="78"/>
  <c r="S28" i="78"/>
  <c r="T11" i="78"/>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C27"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C23" i="77"/>
  <c r="R22" i="77"/>
  <c r="R21" i="77"/>
  <c r="N19" i="77"/>
  <c r="R18" i="77"/>
  <c r="D18" i="77"/>
  <c r="R17" i="77"/>
  <c r="D17" i="77"/>
  <c r="R16" i="77"/>
  <c r="D16" i="77"/>
  <c r="D15" i="77"/>
  <c r="N14" i="77"/>
  <c r="M14" i="77"/>
  <c r="D14" i="77"/>
  <c r="D11" i="77" s="1"/>
  <c r="R13" i="77"/>
  <c r="R12" i="77"/>
  <c r="D12" i="77"/>
  <c r="R11" i="77"/>
  <c r="E11" i="77"/>
  <c r="E7" i="77" s="1"/>
  <c r="C27" i="77" s="1"/>
  <c r="R10" i="77"/>
  <c r="D10" i="77"/>
  <c r="R9" i="77"/>
  <c r="D9" i="77"/>
  <c r="D7" i="77" s="1"/>
  <c r="R8" i="77"/>
  <c r="R7" i="77"/>
  <c r="R14" i="77" s="1"/>
  <c r="R25" i="77" s="1"/>
  <c r="C26" i="77"/>
  <c r="R4" i="77"/>
  <c r="R3" i="77"/>
  <c r="R24" i="77"/>
  <c r="C32" i="77"/>
  <c r="C38" i="77" s="1"/>
  <c r="C39" i="77" s="1"/>
  <c r="R35" i="77"/>
  <c r="U34" i="77" s="1"/>
  <c r="O10" i="71"/>
  <c r="Y10" i="71" s="1"/>
  <c r="AB10" i="71" s="1"/>
  <c r="R19" i="77"/>
  <c r="R5"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U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101" i="43" s="1"/>
  <c r="B78" i="43"/>
  <c r="B58" i="43"/>
  <c r="B69"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K13" i="1" s="1"/>
  <c r="M13" i="1" s="1"/>
  <c r="O13" i="1" s="1"/>
  <c r="P13" i="1" s="1"/>
  <c r="A6" i="1"/>
  <c r="F3" i="35"/>
  <c r="E7" i="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I24" i="80" s="1"/>
  <c r="C24" i="80" s="1"/>
  <c r="H15" i="4"/>
  <c r="G15" i="4"/>
  <c r="E15" i="4"/>
  <c r="I24" i="43" s="1"/>
  <c r="D15" i="4"/>
  <c r="I24" i="81" s="1"/>
  <c r="C24" i="81" s="1"/>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s="1"/>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I4"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H9" i="36"/>
  <c r="AB9" i="36" s="1"/>
  <c r="F9" i="36"/>
  <c r="AA9" i="36" s="1"/>
  <c r="J8" i="36"/>
  <c r="H8" i="36"/>
  <c r="U8" i="36" s="1"/>
  <c r="F8" i="36"/>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C20" i="20"/>
  <c r="C18" i="20"/>
  <c r="C17" i="20"/>
  <c r="B62" i="43" s="1"/>
  <c r="C16" i="20"/>
  <c r="C17" i="39" s="1"/>
  <c r="C15" i="20"/>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25" i="37"/>
  <c r="W31" i="37"/>
  <c r="F103" i="37"/>
  <c r="G103" i="37" s="1"/>
  <c r="H103" i="37" s="1"/>
  <c r="I103" i="37" s="1"/>
  <c r="J103" i="37" s="1"/>
  <c r="K103" i="37" s="1"/>
  <c r="L103" i="37" s="1"/>
  <c r="M103" i="37" s="1"/>
  <c r="F39" i="37"/>
  <c r="U14" i="37"/>
  <c r="F29" i="36"/>
  <c r="AA29" i="36"/>
  <c r="F16" i="36"/>
  <c r="AA16" i="36" s="1"/>
  <c r="U9" i="36"/>
  <c r="S30" i="36"/>
  <c r="AA31" i="36"/>
  <c r="AC31" i="36"/>
  <c r="U31"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3"/>
  <c r="AC12" i="34"/>
  <c r="AB12" i="35"/>
  <c r="W32" i="40"/>
  <c r="S44" i="39"/>
  <c r="F37" i="39"/>
  <c r="AA37" i="39" s="1"/>
  <c r="J34" i="36"/>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AA12" i="36" s="1"/>
  <c r="F24" i="36"/>
  <c r="AA24"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J28" i="34"/>
  <c r="W28" i="34" s="1"/>
  <c r="F41" i="33"/>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c r="F30" i="35"/>
  <c r="S30"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c r="AB11" i="36"/>
  <c r="J10" i="36"/>
  <c r="AC10" i="36" s="1"/>
  <c r="AB26" i="33"/>
  <c r="AA14" i="37"/>
  <c r="S11" i="36"/>
  <c r="W11" i="36"/>
  <c r="AC28" i="21"/>
  <c r="S44" i="34"/>
  <c r="BA586"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U35" i="35"/>
  <c r="AA12" i="35"/>
  <c r="W23" i="35"/>
  <c r="W14" i="37"/>
  <c r="AB28" i="37"/>
  <c r="U33" i="37"/>
  <c r="U39" i="37"/>
  <c r="W26" i="37"/>
  <c r="AC8" i="37"/>
  <c r="U26" i="37"/>
  <c r="W47" i="34"/>
  <c r="AB13" i="34"/>
  <c r="W37" i="34"/>
  <c r="AB37" i="34"/>
  <c r="AC36" i="34"/>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J11" i="39"/>
  <c r="W11" i="39" s="1"/>
  <c r="F11" i="39"/>
  <c r="AA11" i="39" s="1"/>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I5" i="3"/>
  <c r="BE5" i="3"/>
  <c r="G17" i="3"/>
  <c r="BA17" i="3"/>
  <c r="BT5" i="3"/>
  <c r="AZ350" i="3"/>
  <c r="AZ356" i="3"/>
  <c r="AZ364" i="3"/>
  <c r="AZ368" i="3"/>
  <c r="BA15" i="3"/>
  <c r="AZ15" i="3" s="1"/>
  <c r="BB5" i="3"/>
  <c r="E5" i="6" s="1"/>
  <c r="D9" i="11" s="1"/>
  <c r="C9" i="11" s="1"/>
  <c r="BR5" i="3"/>
  <c r="AZ380" i="3"/>
  <c r="AZ388" i="3"/>
  <c r="AZ396" i="3"/>
  <c r="AZ499" i="3"/>
  <c r="AZ509" i="3"/>
  <c r="G509" i="3"/>
  <c r="BL493" i="3"/>
  <c r="AZ493" i="3" s="1"/>
  <c r="AZ491" i="3"/>
  <c r="AZ376" i="3"/>
  <c r="AZ382" i="3"/>
  <c r="U36" i="40"/>
  <c r="H117" i="43"/>
  <c r="D21" i="43"/>
  <c r="F42" i="43"/>
  <c r="I21" i="43"/>
  <c r="F39" i="43"/>
  <c r="J21" i="43"/>
  <c r="U17" i="39"/>
  <c r="S14" i="35"/>
  <c r="U43" i="21"/>
  <c r="U35" i="21"/>
  <c r="AC35" i="21"/>
  <c r="U10"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M6" i="1" s="1"/>
  <c r="O6" i="1" s="1"/>
  <c r="P6" i="1" s="1"/>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AA34" i="33"/>
  <c r="B41" i="1"/>
  <c r="F48" i="9" s="1"/>
  <c r="O52" i="9" s="1"/>
  <c r="F53" i="9"/>
  <c r="S22" i="31"/>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AC27" i="36"/>
  <c r="AB27" i="36"/>
  <c r="U26" i="36"/>
  <c r="S33" i="36"/>
  <c r="S27" i="36"/>
  <c r="AA26"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W38" i="33"/>
  <c r="H41" i="33"/>
  <c r="F121" i="33"/>
  <c r="G121" i="33"/>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E19" i="69"/>
  <c r="E19" i="68"/>
  <c r="E19" i="11"/>
  <c r="E1" i="73"/>
  <c r="G22" i="69"/>
  <c r="G22" i="68"/>
  <c r="G26" i="12"/>
  <c r="G22" i="11"/>
  <c r="E84" i="43"/>
  <c r="B82" i="43" s="1"/>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F30" i="68"/>
  <c r="F48" i="68" s="1"/>
  <c r="F30" i="11"/>
  <c r="C48" i="11" s="1"/>
  <c r="F28" i="67"/>
  <c r="C28" i="67" s="1"/>
  <c r="F31" i="12"/>
  <c r="F52" i="9"/>
  <c r="M18" i="67"/>
  <c r="F32" i="67"/>
  <c r="F60" i="67" s="1"/>
  <c r="F30" i="69"/>
  <c r="F48" i="69" s="1"/>
  <c r="F32" i="15"/>
  <c r="F60" i="15" s="1"/>
  <c r="M18" i="15"/>
  <c r="F28" i="15"/>
  <c r="S7" i="1"/>
  <c r="AR7" i="1" s="1"/>
  <c r="E7" i="70"/>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R22" i="31"/>
  <c r="AP7" i="1"/>
  <c r="AC33" i="21"/>
  <c r="S33" i="21"/>
  <c r="AA33" i="21"/>
  <c r="W32" i="21"/>
  <c r="AB9" i="21"/>
  <c r="AA32" i="21"/>
  <c r="S32" i="21"/>
  <c r="W9" i="21"/>
  <c r="AC9" i="21"/>
  <c r="AB32" i="21"/>
  <c r="U32" i="21"/>
  <c r="AA10" i="21"/>
  <c r="C30" i="11"/>
  <c r="E6" i="70"/>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C30" i="69"/>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X7" i="43"/>
  <c r="F73" i="43"/>
  <c r="H76" i="43" s="1"/>
  <c r="F62" i="43"/>
  <c r="H66" i="43" s="1"/>
  <c r="D81" i="71"/>
  <c r="D73" i="71"/>
  <c r="B68" i="71"/>
  <c r="M11" i="43"/>
  <c r="E62" i="43"/>
  <c r="B60" i="43" s="1"/>
  <c r="D23" i="67"/>
  <c r="G25" i="12"/>
  <c r="G41" i="11"/>
  <c r="G27" i="12"/>
  <c r="G41" i="68"/>
  <c r="D9" i="53"/>
  <c r="B25" i="72"/>
  <c r="B24" i="72"/>
  <c r="K120" i="9"/>
  <c r="B67" i="71"/>
  <c r="O67" i="71" s="1"/>
  <c r="O68" i="71"/>
  <c r="M32" i="43"/>
  <c r="N32" i="43"/>
  <c r="O32" i="43"/>
  <c r="P32" i="43"/>
  <c r="O66" i="71"/>
  <c r="F41" i="67"/>
  <c r="AO7" i="1"/>
  <c r="F8" i="67"/>
  <c r="F38" i="67"/>
  <c r="B7" i="76"/>
  <c r="AO9" i="1"/>
  <c r="F7" i="73"/>
  <c r="F8" i="15"/>
  <c r="E9" i="76"/>
  <c r="M28" i="67"/>
  <c r="F16" i="15"/>
  <c r="M24" i="67"/>
  <c r="M28" i="15"/>
  <c r="F38" i="15"/>
  <c r="E7" i="76"/>
  <c r="D2" i="36"/>
  <c r="F3" i="73"/>
  <c r="AO12" i="1"/>
  <c r="M9" i="15"/>
  <c r="F13" i="67"/>
  <c r="F42" i="67"/>
  <c r="F6" i="67"/>
  <c r="AO10" i="1"/>
  <c r="F26" i="15"/>
  <c r="D2" i="34"/>
  <c r="M23" i="15"/>
  <c r="M24" i="15"/>
  <c r="D2" i="37"/>
  <c r="F40" i="67"/>
  <c r="D4" i="73"/>
  <c r="E10" i="76"/>
  <c r="D2" i="33"/>
  <c r="D20" i="9"/>
  <c r="F7" i="67"/>
  <c r="C76" i="67"/>
  <c r="B8" i="76"/>
  <c r="M23" i="67"/>
  <c r="M22" i="67"/>
  <c r="M26" i="67"/>
  <c r="M8" i="15"/>
  <c r="M29" i="67"/>
  <c r="D34" i="9"/>
  <c r="B11" i="76"/>
  <c r="AO6" i="1"/>
  <c r="F9" i="67"/>
  <c r="F43" i="15"/>
  <c r="F40" i="15"/>
  <c r="M27" i="15"/>
  <c r="C20" i="9"/>
  <c r="F5" i="73"/>
  <c r="D19" i="9"/>
  <c r="F36" i="67"/>
  <c r="F37" i="15"/>
  <c r="D7" i="73"/>
  <c r="F4" i="73"/>
  <c r="D5" i="73"/>
  <c r="F20" i="31"/>
  <c r="L47" i="15"/>
  <c r="M26" i="15"/>
  <c r="J15" i="15"/>
  <c r="F41" i="15"/>
  <c r="D2" i="35"/>
  <c r="E11" i="76"/>
  <c r="B12" i="76"/>
  <c r="D6" i="73"/>
  <c r="B10" i="76"/>
  <c r="F43" i="67"/>
  <c r="E13" i="76"/>
  <c r="M6" i="15"/>
  <c r="F42" i="15"/>
  <c r="F16" i="67"/>
  <c r="E12" i="76"/>
  <c r="M8" i="67"/>
  <c r="J15" i="67"/>
  <c r="M29" i="15"/>
  <c r="M22" i="15"/>
  <c r="D2" i="21"/>
  <c r="B9" i="76"/>
  <c r="D35" i="9"/>
  <c r="AO13" i="1"/>
  <c r="C76" i="15"/>
  <c r="B13" i="76"/>
  <c r="M9" i="67"/>
  <c r="F37" i="67"/>
  <c r="F7" i="15"/>
  <c r="F26" i="67"/>
  <c r="M6" i="67"/>
  <c r="C19" i="9"/>
  <c r="AO11" i="1"/>
  <c r="M27" i="67"/>
  <c r="E8" i="76"/>
  <c r="E2" i="69"/>
  <c r="F6" i="15"/>
  <c r="D3" i="73"/>
  <c r="F13" i="15"/>
  <c r="AO8" i="1"/>
  <c r="E2" i="68"/>
  <c r="F6" i="73"/>
  <c r="F36" i="15"/>
  <c r="L47" i="67"/>
  <c r="F9" i="15"/>
  <c r="G11" i="1" l="1"/>
  <c r="G9" i="1"/>
  <c r="F6" i="1"/>
  <c r="C40" i="81"/>
  <c r="C37" i="81"/>
  <c r="C39" i="81"/>
  <c r="T11" i="81"/>
  <c r="V11" i="81" s="1"/>
  <c r="T7" i="81"/>
  <c r="V7" i="81" s="1"/>
  <c r="T2" i="81"/>
  <c r="V2" i="81" s="1"/>
  <c r="T15" i="81"/>
  <c r="V15" i="81" s="1"/>
  <c r="T13" i="81"/>
  <c r="V13" i="81" s="1"/>
  <c r="T8" i="81"/>
  <c r="V8" i="81" s="1"/>
  <c r="T5" i="81"/>
  <c r="V5" i="81" s="1"/>
  <c r="C38" i="81"/>
  <c r="T12" i="81"/>
  <c r="V12" i="81" s="1"/>
  <c r="T10" i="81"/>
  <c r="V10" i="81" s="1"/>
  <c r="T4" i="81"/>
  <c r="V4" i="81" s="1"/>
  <c r="T16" i="81"/>
  <c r="V16" i="81" s="1"/>
  <c r="T14" i="81"/>
  <c r="V14" i="81" s="1"/>
  <c r="T9" i="81"/>
  <c r="V9" i="81" s="1"/>
  <c r="T6" i="81"/>
  <c r="V6" i="81" s="1"/>
  <c r="T3" i="81"/>
  <c r="V3" i="81" s="1"/>
  <c r="T16" i="80"/>
  <c r="V16" i="80" s="1"/>
  <c r="T14" i="80"/>
  <c r="V14" i="80" s="1"/>
  <c r="T9" i="80"/>
  <c r="V9" i="80" s="1"/>
  <c r="T6" i="80"/>
  <c r="V6" i="80" s="1"/>
  <c r="T3" i="80"/>
  <c r="V3" i="80" s="1"/>
  <c r="T11" i="80"/>
  <c r="V11" i="80" s="1"/>
  <c r="T10" i="80"/>
  <c r="V10" i="80" s="1"/>
  <c r="T4" i="80"/>
  <c r="V4" i="80" s="1"/>
  <c r="C39" i="80"/>
  <c r="C37" i="80"/>
  <c r="T15" i="80"/>
  <c r="V15" i="80" s="1"/>
  <c r="T13" i="80"/>
  <c r="V13" i="80" s="1"/>
  <c r="T8" i="80"/>
  <c r="V8" i="80" s="1"/>
  <c r="T5" i="80"/>
  <c r="V5" i="80" s="1"/>
  <c r="T12" i="80"/>
  <c r="V12" i="80" s="1"/>
  <c r="T2" i="80"/>
  <c r="V2" i="80" s="1"/>
  <c r="T7" i="80"/>
  <c r="V7" i="80" s="1"/>
  <c r="C40" i="80"/>
  <c r="C38" i="80"/>
  <c r="E2" i="70"/>
  <c r="B4" i="62"/>
  <c r="B71" i="72" s="1"/>
  <c r="C24" i="43"/>
  <c r="E8" i="6"/>
  <c r="G28" i="6"/>
  <c r="G29" i="6"/>
  <c r="E29" i="6" s="1"/>
  <c r="K15" i="1" s="1"/>
  <c r="F28" i="6"/>
  <c r="F30" i="6" s="1"/>
  <c r="T11" i="1"/>
  <c r="AR10" i="1"/>
  <c r="T13" i="1"/>
  <c r="AQ12" i="1"/>
  <c r="A4" i="52"/>
  <c r="B41" i="72" s="1"/>
  <c r="L68" i="9"/>
  <c r="M68" i="9" s="1"/>
  <c r="L65" i="9"/>
  <c r="M65" i="9" s="1"/>
  <c r="L66" i="9"/>
  <c r="M66" i="9" s="1"/>
  <c r="L64" i="9"/>
  <c r="M64" i="9" s="1"/>
  <c r="L63" i="9"/>
  <c r="M63" i="9" s="1"/>
  <c r="M69" i="9" s="1"/>
  <c r="N69" i="9" s="1"/>
  <c r="L67" i="9"/>
  <c r="M67" i="9" s="1"/>
  <c r="I14" i="74"/>
  <c r="B8" i="74" s="1"/>
  <c r="D127" i="9"/>
  <c r="D13" i="52" s="1"/>
  <c r="D12" i="52"/>
  <c r="AZ557" i="3"/>
  <c r="C31" i="12"/>
  <c r="S13" i="35"/>
  <c r="AA13" i="35"/>
  <c r="U30" i="21"/>
  <c r="AB30" i="21"/>
  <c r="U23" i="34"/>
  <c r="AB23" i="34"/>
  <c r="AA34" i="21"/>
  <c r="S34" i="21"/>
  <c r="BA585" i="3"/>
  <c r="AZ585" i="3" s="1"/>
  <c r="B73" i="43"/>
  <c r="C15" i="39"/>
  <c r="B102" i="43"/>
  <c r="B80" i="43"/>
  <c r="B98" i="43"/>
  <c r="B76" i="43"/>
  <c r="AB40" i="33"/>
  <c r="U40" i="33"/>
  <c r="H28" i="33"/>
  <c r="F28" i="33"/>
  <c r="J28" i="33"/>
  <c r="H13" i="33"/>
  <c r="F13" i="33"/>
  <c r="J29" i="33"/>
  <c r="H29" i="33"/>
  <c r="F29" i="33"/>
  <c r="J31" i="33"/>
  <c r="H31" i="33"/>
  <c r="H45" i="33"/>
  <c r="J45" i="33"/>
  <c r="F45" i="33"/>
  <c r="J14" i="34"/>
  <c r="F14" i="34"/>
  <c r="H14" i="34"/>
  <c r="F30" i="34"/>
  <c r="J30" i="34"/>
  <c r="H32" i="34"/>
  <c r="J32" i="34"/>
  <c r="H46" i="34"/>
  <c r="F46" i="34"/>
  <c r="H11" i="35"/>
  <c r="J11" i="35"/>
  <c r="F11" i="35"/>
  <c r="J34" i="35"/>
  <c r="H34" i="35"/>
  <c r="F34" i="35"/>
  <c r="AC22" i="35"/>
  <c r="W22" i="35"/>
  <c r="AA8" i="36"/>
  <c r="S8" i="36"/>
  <c r="AC8" i="36"/>
  <c r="W8" i="36"/>
  <c r="U12" i="36"/>
  <c r="AB12" i="36"/>
  <c r="AC28" i="36"/>
  <c r="W28" i="36"/>
  <c r="H13" i="36"/>
  <c r="J13" i="36"/>
  <c r="D17" i="53"/>
  <c r="B36" i="72" s="1"/>
  <c r="D124" i="9"/>
  <c r="AB45" i="21"/>
  <c r="S13" i="21"/>
  <c r="C48" i="69"/>
  <c r="S43" i="34"/>
  <c r="S20" i="35"/>
  <c r="S30" i="40"/>
  <c r="AC34" i="33"/>
  <c r="AC11" i="39"/>
  <c r="U31" i="34"/>
  <c r="AC31" i="34"/>
  <c r="W31" i="34"/>
  <c r="S15" i="34"/>
  <c r="AA41" i="33"/>
  <c r="S41" i="33"/>
  <c r="AA28" i="34"/>
  <c r="S28" i="34"/>
  <c r="AB33" i="35"/>
  <c r="U33" i="35"/>
  <c r="W34" i="36"/>
  <c r="AC34" i="36"/>
  <c r="W11" i="40"/>
  <c r="AC11" i="40"/>
  <c r="S39" i="37"/>
  <c r="AA39" i="37"/>
  <c r="BL587" i="3"/>
  <c r="AZ587" i="3" s="1"/>
  <c r="AA40" i="21"/>
  <c r="S40" i="21"/>
  <c r="B95" i="43"/>
  <c r="B74" i="43"/>
  <c r="B100" i="43"/>
  <c r="B77" i="43"/>
  <c r="C27" i="39"/>
  <c r="AC8" i="34"/>
  <c r="W8" i="34"/>
  <c r="J9" i="34"/>
  <c r="H9" i="34"/>
  <c r="H36" i="35"/>
  <c r="J36" i="35"/>
  <c r="AA27" i="35"/>
  <c r="S27" i="35"/>
  <c r="W27" i="35"/>
  <c r="AC27" i="35"/>
  <c r="AA10" i="36"/>
  <c r="S10" i="36"/>
  <c r="J39" i="40"/>
  <c r="H39" i="40"/>
  <c r="BA551" i="3"/>
  <c r="AZ551" i="3" s="1"/>
  <c r="J32" i="36"/>
  <c r="H32" i="36"/>
  <c r="F34" i="36"/>
  <c r="AC16" i="36"/>
  <c r="W31" i="40"/>
  <c r="J33" i="36"/>
  <c r="U30" i="37"/>
  <c r="W40" i="39"/>
  <c r="F38" i="40"/>
  <c r="J38" i="40"/>
  <c r="H38" i="40"/>
  <c r="BL550" i="3"/>
  <c r="AZ550" i="3" s="1"/>
  <c r="AZ398" i="3"/>
  <c r="AZ405" i="3"/>
  <c r="AZ407" i="3"/>
  <c r="AZ410" i="3"/>
  <c r="AZ415" i="3"/>
  <c r="AZ420" i="3"/>
  <c r="AZ426" i="3"/>
  <c r="AZ431" i="3"/>
  <c r="AZ436" i="3"/>
  <c r="AZ448" i="3"/>
  <c r="AZ452" i="3"/>
  <c r="AZ461" i="3"/>
  <c r="AZ463" i="3"/>
  <c r="AZ468" i="3"/>
  <c r="AZ470" i="3"/>
  <c r="AZ479" i="3"/>
  <c r="AZ485" i="3"/>
  <c r="BK5" i="3"/>
  <c r="BG5" i="3"/>
  <c r="BC5" i="3"/>
  <c r="E11" i="6" s="1"/>
  <c r="AZ395" i="3"/>
  <c r="AZ211" i="3"/>
  <c r="AZ216" i="3"/>
  <c r="AZ219" i="3"/>
  <c r="AZ236" i="3"/>
  <c r="AZ252" i="3"/>
  <c r="AZ272" i="3"/>
  <c r="AZ276" i="3"/>
  <c r="AZ289" i="3"/>
  <c r="AZ294" i="3"/>
  <c r="AZ300" i="3"/>
  <c r="AZ118" i="3"/>
  <c r="AZ121" i="3"/>
  <c r="AZ134" i="3"/>
  <c r="AZ137" i="3"/>
  <c r="AZ145" i="3"/>
  <c r="AZ161" i="3"/>
  <c r="AZ177" i="3"/>
  <c r="AZ193" i="3"/>
  <c r="AZ22" i="3"/>
  <c r="AZ25" i="3"/>
  <c r="AZ57" i="3"/>
  <c r="AZ62" i="3"/>
  <c r="AZ81" i="3"/>
  <c r="AZ99" i="3"/>
  <c r="AZ103" i="3"/>
  <c r="AZ106" i="3"/>
  <c r="C21" i="69"/>
  <c r="C40" i="69"/>
  <c r="F40" i="69"/>
  <c r="AB18" i="36"/>
  <c r="U18" i="36"/>
  <c r="R69" i="71"/>
  <c r="D22" i="67"/>
  <c r="W18" i="35"/>
  <c r="AC18" i="35"/>
  <c r="G67" i="71"/>
  <c r="R68" i="71"/>
  <c r="P69" i="71"/>
  <c r="C68" i="71"/>
  <c r="D69" i="71"/>
  <c r="V73" i="71"/>
  <c r="F72" i="71"/>
  <c r="F71" i="71" s="1"/>
  <c r="U77" i="71"/>
  <c r="C76" i="71"/>
  <c r="D76" i="71" s="1"/>
  <c r="D85" i="71"/>
  <c r="C84" i="71"/>
  <c r="D38" i="77"/>
  <c r="D39" i="77" s="1"/>
  <c r="D29" i="77"/>
  <c r="E23" i="77"/>
  <c r="D26" i="77"/>
  <c r="D32" i="77" s="1"/>
  <c r="F40" i="68"/>
  <c r="C21" i="68"/>
  <c r="AA18" i="36"/>
  <c r="S18" i="36"/>
  <c r="G27" i="71"/>
  <c r="Q69" i="71"/>
  <c r="F68" i="71"/>
  <c r="V77" i="71"/>
  <c r="F76" i="71"/>
  <c r="F75" i="71" s="1"/>
  <c r="U5" i="77"/>
  <c r="C5" i="68"/>
  <c r="B28" i="71"/>
  <c r="B27" i="71" s="1"/>
  <c r="B44" i="71"/>
  <c r="B45" i="71" s="1"/>
  <c r="T45" i="71" s="1"/>
  <c r="B48" i="71"/>
  <c r="B49" i="71" s="1"/>
  <c r="T49" i="71" s="1"/>
  <c r="C23" i="43"/>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5" i="6"/>
  <c r="E10"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E94" i="43"/>
  <c r="B92"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F31" i="15"/>
  <c r="C6" i="15"/>
  <c r="B9" i="70"/>
  <c r="F31" i="67"/>
  <c r="C6" i="67"/>
  <c r="F70" i="67"/>
  <c r="F66" i="15"/>
  <c r="B11" i="70"/>
  <c r="Q71" i="67"/>
  <c r="K1" i="73"/>
  <c r="F71" i="67"/>
  <c r="F68" i="15"/>
  <c r="F51" i="15"/>
  <c r="B6" i="70"/>
  <c r="F64" i="15"/>
  <c r="D102" i="9"/>
  <c r="C103" i="9"/>
  <c r="G20" i="9"/>
  <c r="C32" i="9" s="1"/>
  <c r="F51" i="67"/>
  <c r="B13" i="70"/>
  <c r="L59" i="67"/>
  <c r="M59" i="67"/>
  <c r="N59" i="67"/>
  <c r="B20" i="31"/>
  <c r="B21" i="31" s="1"/>
  <c r="F68" i="67"/>
  <c r="D103" i="9"/>
  <c r="C27" i="67"/>
  <c r="F65" i="15"/>
  <c r="F69" i="15"/>
  <c r="M7" i="15"/>
  <c r="M17" i="15" s="1"/>
  <c r="F50" i="15"/>
  <c r="B12" i="70"/>
  <c r="F65" i="67"/>
  <c r="I1" i="73"/>
  <c r="B39" i="1" s="1"/>
  <c r="B7" i="70"/>
  <c r="F69" i="67"/>
  <c r="F71" i="15"/>
  <c r="B10" i="70"/>
  <c r="F64" i="67"/>
  <c r="Q71" i="15"/>
  <c r="L59"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L48" i="15"/>
  <c r="L48" i="67"/>
  <c r="G1" i="73"/>
  <c r="E151" i="3" l="1"/>
  <c r="E245" i="3"/>
  <c r="E439" i="3"/>
  <c r="J53" i="67"/>
  <c r="Q52" i="67" s="1"/>
  <c r="J57" i="67"/>
  <c r="J55" i="67" s="1"/>
  <c r="J58" i="67" s="1"/>
  <c r="Q50" i="67" s="1"/>
  <c r="I54" i="67"/>
  <c r="L56" i="67"/>
  <c r="L58" i="67"/>
  <c r="Q60" i="67" s="1"/>
  <c r="J57" i="15"/>
  <c r="J55" i="15" s="1"/>
  <c r="J58" i="15" s="1"/>
  <c r="Q50" i="15" s="1"/>
  <c r="J53" i="15"/>
  <c r="L56" i="15" s="1"/>
  <c r="I54" i="15"/>
  <c r="L58" i="15"/>
  <c r="Q60" i="15" s="1"/>
  <c r="G40" i="80"/>
  <c r="I40" i="80" s="1"/>
  <c r="E40" i="80"/>
  <c r="G37" i="80"/>
  <c r="I37" i="80" s="1"/>
  <c r="E37" i="80"/>
  <c r="G38" i="81"/>
  <c r="I38" i="81" s="1"/>
  <c r="E38" i="81"/>
  <c r="G39" i="81"/>
  <c r="I39" i="81" s="1"/>
  <c r="E39" i="81"/>
  <c r="G40" i="81"/>
  <c r="I40" i="81" s="1"/>
  <c r="E40" i="81"/>
  <c r="G38" i="80"/>
  <c r="I38" i="80" s="1"/>
  <c r="E38" i="80"/>
  <c r="G39" i="80"/>
  <c r="I39" i="80" s="1"/>
  <c r="E39" i="80"/>
  <c r="G37" i="81"/>
  <c r="I37" i="81" s="1"/>
  <c r="E37" i="81"/>
  <c r="E236" i="3"/>
  <c r="E578" i="3"/>
  <c r="E305" i="3"/>
  <c r="E399" i="3"/>
  <c r="E269" i="3"/>
  <c r="E382" i="3"/>
  <c r="E518" i="3"/>
  <c r="E410" i="3"/>
  <c r="E185" i="3"/>
  <c r="E533" i="3"/>
  <c r="E361" i="3"/>
  <c r="E191" i="3"/>
  <c r="E148" i="3"/>
  <c r="E159" i="3"/>
  <c r="E263" i="3"/>
  <c r="E423" i="3"/>
  <c r="AI6" i="3"/>
  <c r="E385" i="3"/>
  <c r="E229" i="3"/>
  <c r="E388" i="3"/>
  <c r="E530" i="3"/>
  <c r="E231" i="3"/>
  <c r="E561" i="3"/>
  <c r="E124" i="3"/>
  <c r="E347" i="3"/>
  <c r="E528" i="3"/>
  <c r="E99" i="3"/>
  <c r="E188" i="3"/>
  <c r="E228" i="3"/>
  <c r="E136" i="3"/>
  <c r="E196" i="3"/>
  <c r="E301" i="3"/>
  <c r="E303" i="3"/>
  <c r="E350" i="3"/>
  <c r="E402" i="3"/>
  <c r="E586" i="3"/>
  <c r="AN6" i="3"/>
  <c r="E495" i="3"/>
  <c r="E353" i="3"/>
  <c r="E201" i="3"/>
  <c r="E337" i="3"/>
  <c r="E555" i="3"/>
  <c r="E508" i="3"/>
  <c r="E343" i="3"/>
  <c r="E175" i="3"/>
  <c r="E216" i="3"/>
  <c r="E380" i="3"/>
  <c r="E538" i="3"/>
  <c r="AR6" i="3"/>
  <c r="E270" i="3"/>
  <c r="E280" i="3"/>
  <c r="AA6" i="3"/>
  <c r="E503" i="3"/>
  <c r="E183" i="3"/>
  <c r="E261" i="3"/>
  <c r="E262" i="3"/>
  <c r="E244" i="3"/>
  <c r="E296" i="3"/>
  <c r="E368" i="3"/>
  <c r="E306" i="3"/>
  <c r="E453" i="3"/>
  <c r="E434" i="3"/>
  <c r="E549" i="3"/>
  <c r="AK6" i="3"/>
  <c r="E536" i="3"/>
  <c r="E16" i="3"/>
  <c r="I6" i="3"/>
  <c r="E511" i="3"/>
  <c r="E568" i="3"/>
  <c r="E314" i="3"/>
  <c r="E397" i="3"/>
  <c r="E97" i="3"/>
  <c r="E143" i="3"/>
  <c r="E285" i="3"/>
  <c r="E359" i="3"/>
  <c r="E574" i="3"/>
  <c r="O6" i="3"/>
  <c r="E328" i="3"/>
  <c r="E426" i="3"/>
  <c r="E153" i="3"/>
  <c r="E501" i="3"/>
  <c r="E319" i="3"/>
  <c r="E53" i="3"/>
  <c r="E169" i="3"/>
  <c r="E298" i="3"/>
  <c r="E321" i="3"/>
  <c r="E338" i="3"/>
  <c r="E418" i="3"/>
  <c r="E506" i="3"/>
  <c r="E523" i="3"/>
  <c r="S6" i="3"/>
  <c r="E390" i="3"/>
  <c r="E293" i="3"/>
  <c r="E246" i="3"/>
  <c r="E336" i="3"/>
  <c r="X6" i="3"/>
  <c r="E583" i="3"/>
  <c r="E302" i="3"/>
  <c r="E17" i="3"/>
  <c r="E213" i="3"/>
  <c r="E565" i="3"/>
  <c r="E304" i="3"/>
  <c r="E237" i="3"/>
  <c r="E247" i="3"/>
  <c r="E396" i="3"/>
  <c r="E431" i="3"/>
  <c r="E569" i="3"/>
  <c r="E579" i="3"/>
  <c r="E516" i="3"/>
  <c r="E509" i="3"/>
  <c r="E239" i="3"/>
  <c r="AJ6" i="3"/>
  <c r="N6" i="3"/>
  <c r="E322" i="3"/>
  <c r="E282" i="3"/>
  <c r="E268" i="3"/>
  <c r="E553" i="3"/>
  <c r="E526" i="3"/>
  <c r="E366" i="3"/>
  <c r="E217" i="3"/>
  <c r="E12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F27" i="6"/>
  <c r="F31" i="6" s="1"/>
  <c r="E56" i="39"/>
  <c r="E14" i="6"/>
  <c r="E64" i="39" s="1"/>
  <c r="E13" i="6"/>
  <c r="E58" i="40" s="1"/>
  <c r="Q68" i="71"/>
  <c r="F67" i="71"/>
  <c r="E38" i="77"/>
  <c r="E39" i="77" s="1"/>
  <c r="C40" i="77" s="1"/>
  <c r="E26" i="77"/>
  <c r="E32" i="77" s="1"/>
  <c r="E29" i="77"/>
  <c r="C83" i="71"/>
  <c r="D83" i="71" s="1"/>
  <c r="D84" i="71"/>
  <c r="AC38" i="40"/>
  <c r="W38" i="40"/>
  <c r="W33" i="36"/>
  <c r="AC33" i="36"/>
  <c r="U32" i="36"/>
  <c r="AB32" i="36"/>
  <c r="W39" i="40"/>
  <c r="AC39" i="40"/>
  <c r="U36" i="35"/>
  <c r="AB36" i="35"/>
  <c r="AC9" i="34"/>
  <c r="W9" i="34"/>
  <c r="W13" i="36"/>
  <c r="AC13" i="36"/>
  <c r="AA34" i="35"/>
  <c r="S34" i="35"/>
  <c r="W34" i="35"/>
  <c r="AC34" i="35"/>
  <c r="W11" i="35"/>
  <c r="AC11" i="35"/>
  <c r="AA46" i="34"/>
  <c r="S46" i="34"/>
  <c r="AC32" i="34"/>
  <c r="W32" i="34"/>
  <c r="W30" i="34"/>
  <c r="AC30" i="34"/>
  <c r="AB14" i="34"/>
  <c r="U14" i="34"/>
  <c r="AC14" i="34"/>
  <c r="W14" i="34"/>
  <c r="W45" i="33"/>
  <c r="AC45" i="33"/>
  <c r="U31" i="33"/>
  <c r="AB31" i="33"/>
  <c r="AA29" i="33"/>
  <c r="S29" i="33"/>
  <c r="W29" i="33"/>
  <c r="AC29" i="33"/>
  <c r="U13" i="33"/>
  <c r="AB13" i="33"/>
  <c r="AA28" i="33"/>
  <c r="S28" i="33"/>
  <c r="C67" i="71"/>
  <c r="P68" i="71"/>
  <c r="D68" i="71"/>
  <c r="AB38" i="40"/>
  <c r="U38" i="40"/>
  <c r="S38" i="40"/>
  <c r="AA38" i="40"/>
  <c r="S34" i="36"/>
  <c r="AA34" i="36"/>
  <c r="W32" i="36"/>
  <c r="AC32" i="36"/>
  <c r="U39" i="40"/>
  <c r="AB39" i="40"/>
  <c r="AC36" i="35"/>
  <c r="W36" i="35"/>
  <c r="U9" i="34"/>
  <c r="AB9" i="34"/>
  <c r="D10" i="52"/>
  <c r="D125" i="9"/>
  <c r="D11" i="52" s="1"/>
  <c r="H14" i="74"/>
  <c r="B7" i="74" s="1"/>
  <c r="AB13" i="36"/>
  <c r="U13" i="36"/>
  <c r="U34" i="35"/>
  <c r="AB34" i="35"/>
  <c r="S11" i="35"/>
  <c r="AA11" i="35"/>
  <c r="AB11" i="35"/>
  <c r="U11" i="35"/>
  <c r="AB46" i="34"/>
  <c r="U46" i="34"/>
  <c r="AB32" i="34"/>
  <c r="U32" i="34"/>
  <c r="S30" i="34"/>
  <c r="AA30" i="34"/>
  <c r="AA14" i="34"/>
  <c r="S14" i="34"/>
  <c r="AA45" i="33"/>
  <c r="S45" i="33"/>
  <c r="AB45" i="33"/>
  <c r="U45" i="33"/>
  <c r="W31" i="33"/>
  <c r="AC31" i="33"/>
  <c r="U29" i="33"/>
  <c r="AB29" i="33"/>
  <c r="S13" i="33"/>
  <c r="AA13" i="33"/>
  <c r="AC28" i="33"/>
  <c r="W28" i="33"/>
  <c r="AB28" i="33"/>
  <c r="U28" i="33"/>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G3" i="81" s="1"/>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G16" i="1"/>
  <c r="F10" i="39" s="1"/>
  <c r="AA10" i="39" s="1"/>
  <c r="J7" i="35"/>
  <c r="AC7" i="35" s="1"/>
  <c r="V38" i="35" s="1"/>
  <c r="I38" i="35" s="1"/>
  <c r="H7" i="21"/>
  <c r="BA5" i="3"/>
  <c r="E27" i="6" s="1"/>
  <c r="AZ13" i="3"/>
  <c r="AZ5" i="3" s="1"/>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J6" i="67"/>
  <c r="J18" i="67" s="1"/>
  <c r="C49" i="15"/>
  <c r="B40" i="1"/>
  <c r="Q74" i="15"/>
  <c r="Q61" i="15"/>
  <c r="F59" i="15"/>
  <c r="C35" i="9"/>
  <c r="C34" i="9" s="1"/>
  <c r="J6" i="15"/>
  <c r="Q73" i="15"/>
  <c r="F11" i="15"/>
  <c r="F11" i="67"/>
  <c r="M11" i="67"/>
  <c r="J10" i="67" s="1"/>
  <c r="M11" i="15"/>
  <c r="Q61" i="67"/>
  <c r="Q74" i="67"/>
  <c r="B2" i="70"/>
  <c r="B3" i="70" s="1"/>
  <c r="C32" i="67"/>
  <c r="C32" i="15"/>
  <c r="F1" i="67"/>
  <c r="F59" i="67"/>
  <c r="C17" i="67"/>
  <c r="C17" i="15"/>
  <c r="C14" i="67"/>
  <c r="F1" i="15" l="1"/>
  <c r="Q73" i="67"/>
  <c r="Q52" i="15"/>
  <c r="E26" i="81"/>
  <c r="J26" i="81"/>
  <c r="Z7" i="81"/>
  <c r="F26" i="81"/>
  <c r="H26" i="81"/>
  <c r="B117" i="81"/>
  <c r="G26" i="81"/>
  <c r="G3" i="80"/>
  <c r="G3" i="43"/>
  <c r="H6" i="3"/>
  <c r="E6" i="3" s="1"/>
  <c r="F10" i="40"/>
  <c r="AA10" i="40" s="1"/>
  <c r="E59" i="40"/>
  <c r="E16" i="6"/>
  <c r="S10" i="39"/>
  <c r="B2" i="77"/>
  <c r="B3" i="77" s="1"/>
  <c r="C41" i="77"/>
  <c r="P66" i="71"/>
  <c r="D67" i="71"/>
  <c r="P67" i="71"/>
  <c r="S7" i="33"/>
  <c r="Q66" i="71"/>
  <c r="Q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B123" i="81" l="1"/>
  <c r="C123" i="81" s="1"/>
  <c r="B122" i="81"/>
  <c r="C122" i="81" s="1"/>
  <c r="B121" i="81"/>
  <c r="C121" i="81" s="1"/>
  <c r="B120" i="81"/>
  <c r="C120" i="81" s="1"/>
  <c r="B119" i="81"/>
  <c r="I122" i="81"/>
  <c r="J122" i="81" s="1"/>
  <c r="K122" i="81" s="1"/>
  <c r="L122" i="81" s="1"/>
  <c r="M122" i="81" s="1"/>
  <c r="I120" i="81"/>
  <c r="J120" i="81" s="1"/>
  <c r="K120" i="81" s="1"/>
  <c r="L120" i="81" s="1"/>
  <c r="M120" i="81" s="1"/>
  <c r="G122" i="81"/>
  <c r="H122" i="81" s="1"/>
  <c r="D123" i="81"/>
  <c r="E123" i="81" s="1"/>
  <c r="F123" i="81" s="1"/>
  <c r="G123" i="81" s="1"/>
  <c r="H123" i="81" s="1"/>
  <c r="D122" i="81"/>
  <c r="E122" i="81" s="1"/>
  <c r="F122" i="81" s="1"/>
  <c r="D121" i="81"/>
  <c r="E121" i="81" s="1"/>
  <c r="F121" i="81" s="1"/>
  <c r="G121" i="81" s="1"/>
  <c r="H121" i="81" s="1"/>
  <c r="D120" i="81"/>
  <c r="E120" i="81" s="1"/>
  <c r="F120" i="81" s="1"/>
  <c r="G120" i="81" s="1"/>
  <c r="H120" i="81" s="1"/>
  <c r="D119" i="81"/>
  <c r="E119" i="81" s="1"/>
  <c r="F119" i="81" s="1"/>
  <c r="G119" i="81" s="1"/>
  <c r="H119" i="81" s="1"/>
  <c r="I123" i="81"/>
  <c r="J123" i="81" s="1"/>
  <c r="K123" i="81" s="1"/>
  <c r="L123" i="81" s="1"/>
  <c r="M123" i="81" s="1"/>
  <c r="I121" i="81"/>
  <c r="J121" i="81" s="1"/>
  <c r="K121" i="81" s="1"/>
  <c r="L121" i="81" s="1"/>
  <c r="M121" i="81" s="1"/>
  <c r="I119" i="81"/>
  <c r="J119" i="81" s="1"/>
  <c r="K119" i="81" s="1"/>
  <c r="L119" i="81" s="1"/>
  <c r="M119" i="81" s="1"/>
  <c r="D26" i="81"/>
  <c r="C25" i="81" s="1"/>
  <c r="C33" i="81" s="1"/>
  <c r="E26" i="43"/>
  <c r="F26" i="43"/>
  <c r="H26" i="43"/>
  <c r="Z7" i="43"/>
  <c r="N370" i="46"/>
  <c r="N94" i="46"/>
  <c r="B117" i="43"/>
  <c r="G26" i="43"/>
  <c r="J26" i="43"/>
  <c r="B117" i="80"/>
  <c r="J26" i="80"/>
  <c r="E26" i="80"/>
  <c r="G26" i="80"/>
  <c r="Z7" i="80"/>
  <c r="H26" i="80"/>
  <c r="F26" i="8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D26" i="80" l="1"/>
  <c r="C25" i="80" s="1"/>
  <c r="C33" i="80" s="1"/>
  <c r="B2" i="21"/>
  <c r="B3" i="21" s="1"/>
  <c r="E33" i="81"/>
  <c r="C30" i="81" s="1"/>
  <c r="B2" i="81" s="1"/>
  <c r="B3" i="81" s="1"/>
  <c r="C34" i="81"/>
  <c r="E34" i="81" s="1"/>
  <c r="C31" i="81" s="1"/>
  <c r="C119" i="81"/>
  <c r="D117" i="81"/>
  <c r="E33" i="80"/>
  <c r="C30" i="80" s="1"/>
  <c r="B2" i="80" s="1"/>
  <c r="B3" i="80" s="1"/>
  <c r="C34" i="80"/>
  <c r="E34" i="80" s="1"/>
  <c r="C31" i="80" s="1"/>
  <c r="I122" i="80"/>
  <c r="J122" i="80" s="1"/>
  <c r="K122" i="80" s="1"/>
  <c r="L122" i="80" s="1"/>
  <c r="M122" i="80" s="1"/>
  <c r="I120" i="80"/>
  <c r="J120" i="80" s="1"/>
  <c r="K120" i="80" s="1"/>
  <c r="L120" i="80" s="1"/>
  <c r="M120" i="80" s="1"/>
  <c r="I123" i="80"/>
  <c r="J123" i="80" s="1"/>
  <c r="K123" i="80" s="1"/>
  <c r="L123" i="80" s="1"/>
  <c r="M123" i="80" s="1"/>
  <c r="I121" i="80"/>
  <c r="J121" i="80" s="1"/>
  <c r="K121" i="80" s="1"/>
  <c r="L121" i="80" s="1"/>
  <c r="M121" i="80" s="1"/>
  <c r="I119" i="80"/>
  <c r="J119" i="80" s="1"/>
  <c r="K119" i="80" s="1"/>
  <c r="L119" i="80" s="1"/>
  <c r="M119" i="80" s="1"/>
  <c r="D123" i="80"/>
  <c r="E123" i="80" s="1"/>
  <c r="F123" i="80" s="1"/>
  <c r="G123" i="80" s="1"/>
  <c r="H123" i="80" s="1"/>
  <c r="D122" i="80"/>
  <c r="E122" i="80" s="1"/>
  <c r="F122" i="80" s="1"/>
  <c r="D121" i="80"/>
  <c r="E121" i="80" s="1"/>
  <c r="F121" i="80" s="1"/>
  <c r="G121" i="80" s="1"/>
  <c r="H121" i="80" s="1"/>
  <c r="D120" i="80"/>
  <c r="E120" i="80" s="1"/>
  <c r="F120" i="80" s="1"/>
  <c r="G120" i="80" s="1"/>
  <c r="H120" i="80" s="1"/>
  <c r="D119" i="80"/>
  <c r="E119" i="80" s="1"/>
  <c r="F119" i="80" s="1"/>
  <c r="G119" i="80" s="1"/>
  <c r="H119" i="80" s="1"/>
  <c r="G122" i="80"/>
  <c r="H122" i="80" s="1"/>
  <c r="B123" i="80"/>
  <c r="C123" i="80" s="1"/>
  <c r="B122" i="80"/>
  <c r="C122" i="80" s="1"/>
  <c r="B121" i="80"/>
  <c r="C121" i="80" s="1"/>
  <c r="B120" i="80"/>
  <c r="C120" i="80" s="1"/>
  <c r="B119" i="80"/>
  <c r="I122" i="43"/>
  <c r="J122" i="43" s="1"/>
  <c r="K122" i="43" s="1"/>
  <c r="L122" i="43" s="1"/>
  <c r="M122" i="43" s="1"/>
  <c r="D123" i="43"/>
  <c r="E123" i="43" s="1"/>
  <c r="F123" i="43" s="1"/>
  <c r="G123" i="43" s="1"/>
  <c r="H123" i="43" s="1"/>
  <c r="B121" i="43"/>
  <c r="C121" i="43" s="1"/>
  <c r="B122" i="43"/>
  <c r="C122" i="43" s="1"/>
  <c r="D122" i="43"/>
  <c r="E122" i="43" s="1"/>
  <c r="F122" i="43" s="1"/>
  <c r="I119" i="43"/>
  <c r="J119" i="43" s="1"/>
  <c r="K119" i="43" s="1"/>
  <c r="L119" i="43" s="1"/>
  <c r="M119" i="43" s="1"/>
  <c r="D121" i="43"/>
  <c r="E121" i="43" s="1"/>
  <c r="F121" i="43" s="1"/>
  <c r="G121" i="43" s="1"/>
  <c r="H121" i="43" s="1"/>
  <c r="D120" i="43"/>
  <c r="E120" i="43" s="1"/>
  <c r="F120" i="43" s="1"/>
  <c r="G120" i="43" s="1"/>
  <c r="H120" i="43" s="1"/>
  <c r="B123" i="43"/>
  <c r="C123" i="43" s="1"/>
  <c r="I120" i="43"/>
  <c r="J120" i="43" s="1"/>
  <c r="K120" i="43" s="1"/>
  <c r="L120" i="43" s="1"/>
  <c r="M120" i="43" s="1"/>
  <c r="B119" i="43"/>
  <c r="I123" i="43"/>
  <c r="J123" i="43" s="1"/>
  <c r="K123" i="43" s="1"/>
  <c r="L123" i="43" s="1"/>
  <c r="M123" i="43" s="1"/>
  <c r="D119" i="43"/>
  <c r="E119" i="43" s="1"/>
  <c r="F119" i="43" s="1"/>
  <c r="G119" i="43" s="1"/>
  <c r="H119" i="43" s="1"/>
  <c r="B120" i="43"/>
  <c r="C120" i="43" s="1"/>
  <c r="G122" i="43"/>
  <c r="H122" i="43" s="1"/>
  <c r="I121" i="43"/>
  <c r="J121" i="43" s="1"/>
  <c r="K121" i="43" s="1"/>
  <c r="L121" i="43" s="1"/>
  <c r="M121" i="43" s="1"/>
  <c r="D26" i="43"/>
  <c r="C25" i="43" s="1"/>
  <c r="C33"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J19" i="67"/>
  <c r="C57" i="67"/>
  <c r="C64" i="67" s="1"/>
  <c r="E6" i="76"/>
  <c r="B6" i="76"/>
  <c r="C34" i="43" l="1"/>
  <c r="E34" i="43" s="1"/>
  <c r="C31" i="43" s="1"/>
  <c r="E33" i="43"/>
  <c r="C30" i="43" s="1"/>
  <c r="B2" i="43" s="1"/>
  <c r="B3" i="43" s="1"/>
  <c r="C119" i="80"/>
  <c r="D117" i="80" s="1"/>
  <c r="C119" i="43"/>
  <c r="D117"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57" i="67" l="1"/>
  <c r="L46" i="67"/>
  <c r="C43" i="15"/>
  <c r="Q56" i="15"/>
  <c r="Q47" i="15"/>
  <c r="Q53" i="15" s="1"/>
  <c r="C80" i="15"/>
  <c r="C79" i="15" s="1"/>
  <c r="C83" i="15"/>
  <c r="C82" i="15" s="1"/>
  <c r="Q65" i="15"/>
  <c r="Q69" i="15"/>
  <c r="Q68" i="15" s="1"/>
  <c r="Q67" i="15"/>
  <c r="L57" i="15"/>
  <c r="L60"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66" i="15" l="1"/>
  <c r="Q75" i="15" s="1"/>
  <c r="L46" i="15"/>
  <c r="B2" i="15" s="1"/>
  <c r="B3" i="15" s="1"/>
  <c r="Q57" i="15"/>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9" i="52"/>
  <c r="D123" i="9"/>
  <c r="H5" i="52"/>
  <c r="H119" i="9"/>
  <c r="C86" i="9"/>
  <c r="C93" i="9"/>
  <c r="C73" i="9"/>
  <c r="C78" i="9"/>
  <c r="M55" i="9"/>
  <c r="D59" i="9"/>
  <c r="B30" i="72"/>
  <c r="B20" i="72"/>
  <c r="E14" i="74"/>
  <c r="F14" i="74"/>
  <c r="C80" i="9"/>
  <c r="E80" i="9"/>
  <c r="E81" i="9"/>
  <c r="B53" i="72"/>
  <c r="F5" i="52"/>
  <c r="F119" i="9"/>
  <c r="B31" i="72"/>
  <c r="D15" i="53"/>
  <c r="H108" i="9"/>
  <c r="D8" i="52"/>
  <c r="F4" i="52"/>
  <c r="B51" i="72"/>
  <c r="D54" i="9"/>
  <c r="C64" i="9"/>
  <c r="C63" i="9"/>
  <c r="C67" i="9"/>
  <c r="C68" i="9"/>
  <c r="D5" i="53"/>
  <c r="D6" i="53"/>
  <c r="B22" i="72"/>
  <c r="M48" i="9"/>
  <c r="N60" i="9"/>
  <c r="N59" i="9"/>
  <c r="N61" i="9"/>
  <c r="C96" i="9"/>
  <c r="E96" i="9"/>
  <c r="E97" i="9"/>
  <c r="E4" i="52"/>
  <c r="B48" i="72"/>
  <c r="C6" i="74"/>
  <c r="D122" i="9"/>
  <c r="G14" i="74"/>
  <c r="B6" i="74"/>
  <c r="D6" i="74"/>
  <c r="C104" i="9"/>
  <c r="H4" i="52"/>
  <c r="C85" i="9"/>
  <c r="C95" i="9"/>
  <c r="C97" i="9"/>
  <c r="D58" i="9"/>
  <c r="D56" i="9"/>
  <c r="M54" i="9"/>
  <c r="P57" i="9"/>
  <c r="D55" i="9"/>
  <c r="M53" i="9"/>
  <c r="N57" i="9"/>
  <c r="N58" i="9"/>
  <c r="H102" i="9"/>
  <c r="D7" i="53"/>
  <c r="B21" i="72"/>
  <c r="C105" i="9"/>
  <c r="I4" i="52"/>
  <c r="H107" i="9"/>
  <c r="D13" i="53"/>
  <c r="D14" i="53"/>
  <c r="B32" i="72"/>
  <c r="F118" i="9"/>
  <c r="G118" i="9"/>
  <c r="G4" i="52"/>
  <c r="B52" i="72"/>
  <c r="C5" i="74"/>
  <c r="D14" i="74"/>
  <c r="B5" i="74"/>
  <c r="D5" i="74"/>
  <c r="D53" i="9"/>
  <c r="D52" i="9"/>
  <c r="H101" i="9"/>
  <c r="D45" i="9"/>
  <c r="C72" i="9"/>
  <c r="C79" i="9"/>
  <c r="C81" i="9"/>
  <c r="B47" i="72"/>
  <c r="D4"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529ADFB7-F2E1-4F6E-965C-36F9156075A5}">
      <text>
        <r>
          <rPr>
            <b/>
            <sz val="9"/>
            <color indexed="81"/>
            <rFont val="宋体"/>
            <family val="3"/>
            <charset val="134"/>
          </rPr>
          <t>对应区片地价表</t>
        </r>
        <r>
          <rPr>
            <sz val="9"/>
            <color indexed="81"/>
            <rFont val="宋体"/>
            <family val="3"/>
            <charset val="134"/>
          </rPr>
          <t xml:space="preserve">
</t>
        </r>
      </text>
    </comment>
    <comment ref="Y9" authorId="1" shapeId="0" xr:uid="{25D8E914-1164-41DA-92C4-C35532A5D13D}">
      <text>
        <r>
          <rPr>
            <sz val="11"/>
            <color indexed="81"/>
            <rFont val="宋体"/>
            <family val="3"/>
            <charset val="134"/>
          </rPr>
          <t xml:space="preserve">录入层数，将对应的结果录入至左侧相应层的楼层修正系数单元格中
</t>
        </r>
      </text>
    </comment>
    <comment ref="C16" authorId="1" shapeId="0" xr:uid="{AE71A65D-C0D5-4D80-ADF1-76B53CC482B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4E7E67BC-7029-474C-8235-48615D82CA48}">
      <text>
        <r>
          <rPr>
            <sz val="12"/>
            <color indexed="81"/>
            <rFont val="宋体"/>
            <family val="3"/>
            <charset val="134"/>
          </rPr>
          <t>1.05~1.1</t>
        </r>
        <r>
          <rPr>
            <sz val="9"/>
            <color indexed="81"/>
            <rFont val="宋体"/>
            <family val="3"/>
            <charset val="134"/>
          </rPr>
          <t xml:space="preserve">
</t>
        </r>
      </text>
    </comment>
    <comment ref="E16" authorId="1" shapeId="0" xr:uid="{FF53EB8C-103C-4B7F-91C4-ACA2332929E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D082574D-D90E-46DD-B10B-930A1E9E1FC3}">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DEC07159-9CF6-4304-B4D6-78246B008469}">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E0E5FDFC-2F1B-478E-8FE4-80DA8333C93E}">
      <text>
        <r>
          <rPr>
            <sz val="9"/>
            <color indexed="81"/>
            <rFont val="宋体"/>
            <family val="3"/>
            <charset val="134"/>
          </rPr>
          <t>需在此处填写剩余土地年限</t>
        </r>
      </text>
    </comment>
    <comment ref="C112" authorId="0" shapeId="0" xr:uid="{36FD71C0-522B-4494-9F9A-DCA220C5F205}">
      <text>
        <r>
          <rPr>
            <b/>
            <sz val="9"/>
            <color indexed="81"/>
            <rFont val="宋体"/>
            <family val="3"/>
            <charset val="134"/>
          </rPr>
          <t xml:space="preserve">所在楼层
</t>
        </r>
        <r>
          <rPr>
            <sz val="9"/>
            <color indexed="81"/>
            <rFont val="宋体"/>
            <family val="3"/>
            <charset val="134"/>
          </rPr>
          <t xml:space="preserve">
</t>
        </r>
      </text>
    </comment>
    <comment ref="D112" authorId="0" shapeId="0" xr:uid="{F92E8829-89EE-49C7-9845-BFD7838A3DEB}">
      <text>
        <r>
          <rPr>
            <b/>
            <sz val="9"/>
            <color indexed="81"/>
            <rFont val="宋体"/>
            <family val="3"/>
            <charset val="134"/>
          </rPr>
          <t xml:space="preserve">所在楼层
</t>
        </r>
        <r>
          <rPr>
            <sz val="9"/>
            <color indexed="81"/>
            <rFont val="宋体"/>
            <family val="3"/>
            <charset val="134"/>
          </rPr>
          <t xml:space="preserve">
</t>
        </r>
      </text>
    </comment>
    <comment ref="E112" authorId="0" shapeId="0" xr:uid="{B7C58CFA-39B9-4A77-A8B6-7473450C556F}">
      <text>
        <r>
          <rPr>
            <b/>
            <sz val="9"/>
            <color indexed="81"/>
            <rFont val="宋体"/>
            <family val="3"/>
            <charset val="134"/>
          </rPr>
          <t xml:space="preserve">所在楼层
</t>
        </r>
        <r>
          <rPr>
            <sz val="9"/>
            <color indexed="81"/>
            <rFont val="宋体"/>
            <family val="3"/>
            <charset val="134"/>
          </rPr>
          <t xml:space="preserve">
</t>
        </r>
      </text>
    </comment>
    <comment ref="F112" authorId="0" shapeId="0" xr:uid="{D7DD602A-1023-424B-AD17-43938AF8FD29}">
      <text>
        <r>
          <rPr>
            <b/>
            <sz val="9"/>
            <color indexed="81"/>
            <rFont val="宋体"/>
            <family val="3"/>
            <charset val="134"/>
          </rPr>
          <t xml:space="preserve">所在楼层
</t>
        </r>
        <r>
          <rPr>
            <sz val="9"/>
            <color indexed="81"/>
            <rFont val="宋体"/>
            <family val="3"/>
            <charset val="134"/>
          </rPr>
          <t xml:space="preserve">
</t>
        </r>
      </text>
    </comment>
    <comment ref="G112" authorId="0" shapeId="0" xr:uid="{9716952B-805A-45A9-B708-496C95CDE3B7}">
      <text>
        <r>
          <rPr>
            <b/>
            <sz val="9"/>
            <color indexed="81"/>
            <rFont val="宋体"/>
            <family val="3"/>
            <charset val="134"/>
          </rPr>
          <t xml:space="preserve">所在楼层
</t>
        </r>
        <r>
          <rPr>
            <sz val="9"/>
            <color indexed="81"/>
            <rFont val="宋体"/>
            <family val="3"/>
            <charset val="134"/>
          </rPr>
          <t xml:space="preserve">
</t>
        </r>
      </text>
    </comment>
    <comment ref="H112" authorId="0" shapeId="0" xr:uid="{3E4A5029-0645-4449-A027-96DCAE5A9449}">
      <text>
        <r>
          <rPr>
            <b/>
            <sz val="9"/>
            <color indexed="81"/>
            <rFont val="宋体"/>
            <family val="3"/>
            <charset val="134"/>
          </rPr>
          <t xml:space="preserve">所在楼层
</t>
        </r>
        <r>
          <rPr>
            <sz val="9"/>
            <color indexed="81"/>
            <rFont val="宋体"/>
            <family val="3"/>
            <charset val="134"/>
          </rPr>
          <t xml:space="preserve">
</t>
        </r>
      </text>
    </comment>
    <comment ref="I112" authorId="0" shapeId="0" xr:uid="{6F02B0BF-020A-45FE-9481-6B4D0B9BACC8}">
      <text>
        <r>
          <rPr>
            <b/>
            <sz val="9"/>
            <color indexed="81"/>
            <rFont val="宋体"/>
            <family val="3"/>
            <charset val="134"/>
          </rPr>
          <t xml:space="preserve">所在楼层
</t>
        </r>
        <r>
          <rPr>
            <sz val="9"/>
            <color indexed="81"/>
            <rFont val="宋体"/>
            <family val="3"/>
            <charset val="134"/>
          </rPr>
          <t xml:space="preserve">
</t>
        </r>
      </text>
    </comment>
    <comment ref="J112" authorId="0" shapeId="0" xr:uid="{EBBC39BB-E6E0-4BE4-ADC2-CDBB0FEAE777}">
      <text>
        <r>
          <rPr>
            <b/>
            <sz val="9"/>
            <color indexed="81"/>
            <rFont val="宋体"/>
            <family val="3"/>
            <charset val="134"/>
          </rPr>
          <t xml:space="preserve">所在楼层
</t>
        </r>
        <r>
          <rPr>
            <sz val="9"/>
            <color indexed="81"/>
            <rFont val="宋体"/>
            <family val="3"/>
            <charset val="134"/>
          </rPr>
          <t xml:space="preserve">
</t>
        </r>
      </text>
    </comment>
    <comment ref="K112" authorId="0" shapeId="0" xr:uid="{301F0F00-9839-449F-8761-ECEE8BC4E4D1}">
      <text>
        <r>
          <rPr>
            <b/>
            <sz val="9"/>
            <color indexed="81"/>
            <rFont val="宋体"/>
            <family val="3"/>
            <charset val="134"/>
          </rPr>
          <t xml:space="preserve">所在楼层
</t>
        </r>
        <r>
          <rPr>
            <sz val="9"/>
            <color indexed="81"/>
            <rFont val="宋体"/>
            <family val="3"/>
            <charset val="134"/>
          </rPr>
          <t xml:space="preserve">
</t>
        </r>
      </text>
    </comment>
    <comment ref="L112" authorId="0" shapeId="0" xr:uid="{5B2ED920-FC55-4D19-9BB7-0F4B20475B7E}">
      <text>
        <r>
          <rPr>
            <b/>
            <sz val="9"/>
            <color indexed="81"/>
            <rFont val="宋体"/>
            <family val="3"/>
            <charset val="134"/>
          </rPr>
          <t xml:space="preserve">所在楼层
</t>
        </r>
        <r>
          <rPr>
            <sz val="9"/>
            <color indexed="81"/>
            <rFont val="宋体"/>
            <family val="3"/>
            <charset val="134"/>
          </rPr>
          <t xml:space="preserve">
</t>
        </r>
      </text>
    </comment>
    <comment ref="M112" authorId="0" shapeId="0" xr:uid="{D510AED8-89AF-4093-8FBB-3740BDD0B8E9}">
      <text>
        <r>
          <rPr>
            <b/>
            <sz val="9"/>
            <color indexed="81"/>
            <rFont val="宋体"/>
            <family val="3"/>
            <charset val="134"/>
          </rPr>
          <t xml:space="preserve">所在楼层
</t>
        </r>
        <r>
          <rPr>
            <sz val="9"/>
            <color indexed="81"/>
            <rFont val="宋体"/>
            <family val="3"/>
            <charset val="134"/>
          </rPr>
          <t xml:space="preserve">
</t>
        </r>
      </text>
    </comment>
    <comment ref="N112" authorId="0" shapeId="0" xr:uid="{35A57065-75CD-441F-A6BB-4F01E0248F2C}">
      <text>
        <r>
          <rPr>
            <b/>
            <sz val="9"/>
            <color indexed="81"/>
            <rFont val="宋体"/>
            <family val="3"/>
            <charset val="134"/>
          </rPr>
          <t xml:space="preserve">所在楼层
</t>
        </r>
        <r>
          <rPr>
            <sz val="9"/>
            <color indexed="81"/>
            <rFont val="宋体"/>
            <family val="3"/>
            <charset val="134"/>
          </rPr>
          <t xml:space="preserve">
</t>
        </r>
      </text>
    </comment>
    <comment ref="D117" authorId="0" shapeId="0" xr:uid="{258A1905-7DC6-44F1-9A12-67C0701AC8F8}">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E0D9C6A6-CD8B-4F35-9940-1438830831E7}">
      <text>
        <r>
          <rPr>
            <b/>
            <sz val="9"/>
            <color indexed="81"/>
            <rFont val="宋体"/>
            <family val="3"/>
            <charset val="134"/>
          </rPr>
          <t>对应区片地价表</t>
        </r>
        <r>
          <rPr>
            <sz val="9"/>
            <color indexed="81"/>
            <rFont val="宋体"/>
            <family val="3"/>
            <charset val="134"/>
          </rPr>
          <t xml:space="preserve">
</t>
        </r>
      </text>
    </comment>
    <comment ref="Y9" authorId="1" shapeId="0" xr:uid="{1DBAF1AB-723A-4890-9B9C-6DC5D6257C93}">
      <text>
        <r>
          <rPr>
            <sz val="11"/>
            <color indexed="81"/>
            <rFont val="宋体"/>
            <family val="3"/>
            <charset val="134"/>
          </rPr>
          <t xml:space="preserve">录入层数，将对应的结果录入至左侧相应层的楼层修正系数单元格中
</t>
        </r>
      </text>
    </comment>
    <comment ref="C16" authorId="1" shapeId="0" xr:uid="{A36177E9-1968-4A74-AD12-D4F2D743744A}">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CF8AFE3-1508-466B-831C-0327E161453D}">
      <text>
        <r>
          <rPr>
            <sz val="12"/>
            <color indexed="81"/>
            <rFont val="宋体"/>
            <family val="3"/>
            <charset val="134"/>
          </rPr>
          <t>1.05~1.1</t>
        </r>
        <r>
          <rPr>
            <sz val="9"/>
            <color indexed="81"/>
            <rFont val="宋体"/>
            <family val="3"/>
            <charset val="134"/>
          </rPr>
          <t xml:space="preserve">
</t>
        </r>
      </text>
    </comment>
    <comment ref="E16" authorId="1" shapeId="0" xr:uid="{013BDDC1-CDCB-4E82-A9E8-9AFD6048994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3E60F2E6-0830-4AA4-8104-3F4AE15B3233}">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F197F2AC-D09B-4B0D-A318-3E4DBED3362F}">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97BC739E-E0A8-43F1-B32B-0C0854F9EEAE}">
      <text>
        <r>
          <rPr>
            <sz val="9"/>
            <color indexed="81"/>
            <rFont val="宋体"/>
            <family val="3"/>
            <charset val="134"/>
          </rPr>
          <t>需在此处填写剩余土地年限</t>
        </r>
      </text>
    </comment>
    <comment ref="C112" authorId="0" shapeId="0" xr:uid="{87E99354-A09D-41CF-AF37-FBA889CA4A66}">
      <text>
        <r>
          <rPr>
            <b/>
            <sz val="9"/>
            <color indexed="81"/>
            <rFont val="宋体"/>
            <family val="3"/>
            <charset val="134"/>
          </rPr>
          <t xml:space="preserve">所在楼层
</t>
        </r>
        <r>
          <rPr>
            <sz val="9"/>
            <color indexed="81"/>
            <rFont val="宋体"/>
            <family val="3"/>
            <charset val="134"/>
          </rPr>
          <t xml:space="preserve">
</t>
        </r>
      </text>
    </comment>
    <comment ref="D112" authorId="0" shapeId="0" xr:uid="{74915418-9644-4913-AD3C-7903D69C4DF3}">
      <text>
        <r>
          <rPr>
            <b/>
            <sz val="9"/>
            <color indexed="81"/>
            <rFont val="宋体"/>
            <family val="3"/>
            <charset val="134"/>
          </rPr>
          <t xml:space="preserve">所在楼层
</t>
        </r>
        <r>
          <rPr>
            <sz val="9"/>
            <color indexed="81"/>
            <rFont val="宋体"/>
            <family val="3"/>
            <charset val="134"/>
          </rPr>
          <t xml:space="preserve">
</t>
        </r>
      </text>
    </comment>
    <comment ref="E112" authorId="0" shapeId="0" xr:uid="{9BBFCA96-F133-4B92-8123-64670D06C019}">
      <text>
        <r>
          <rPr>
            <b/>
            <sz val="9"/>
            <color indexed="81"/>
            <rFont val="宋体"/>
            <family val="3"/>
            <charset val="134"/>
          </rPr>
          <t xml:space="preserve">所在楼层
</t>
        </r>
        <r>
          <rPr>
            <sz val="9"/>
            <color indexed="81"/>
            <rFont val="宋体"/>
            <family val="3"/>
            <charset val="134"/>
          </rPr>
          <t xml:space="preserve">
</t>
        </r>
      </text>
    </comment>
    <comment ref="F112" authorId="0" shapeId="0" xr:uid="{D6070C64-5526-4538-B43B-06FBBFA5B698}">
      <text>
        <r>
          <rPr>
            <b/>
            <sz val="9"/>
            <color indexed="81"/>
            <rFont val="宋体"/>
            <family val="3"/>
            <charset val="134"/>
          </rPr>
          <t xml:space="preserve">所在楼层
</t>
        </r>
        <r>
          <rPr>
            <sz val="9"/>
            <color indexed="81"/>
            <rFont val="宋体"/>
            <family val="3"/>
            <charset val="134"/>
          </rPr>
          <t xml:space="preserve">
</t>
        </r>
      </text>
    </comment>
    <comment ref="G112" authorId="0" shapeId="0" xr:uid="{375FCD79-2860-4A77-A75C-12B9F0146C06}">
      <text>
        <r>
          <rPr>
            <b/>
            <sz val="9"/>
            <color indexed="81"/>
            <rFont val="宋体"/>
            <family val="3"/>
            <charset val="134"/>
          </rPr>
          <t xml:space="preserve">所在楼层
</t>
        </r>
        <r>
          <rPr>
            <sz val="9"/>
            <color indexed="81"/>
            <rFont val="宋体"/>
            <family val="3"/>
            <charset val="134"/>
          </rPr>
          <t xml:space="preserve">
</t>
        </r>
      </text>
    </comment>
    <comment ref="H112" authorId="0" shapeId="0" xr:uid="{3A165852-949C-4332-B49B-DD35092EB6B1}">
      <text>
        <r>
          <rPr>
            <b/>
            <sz val="9"/>
            <color indexed="81"/>
            <rFont val="宋体"/>
            <family val="3"/>
            <charset val="134"/>
          </rPr>
          <t xml:space="preserve">所在楼层
</t>
        </r>
        <r>
          <rPr>
            <sz val="9"/>
            <color indexed="81"/>
            <rFont val="宋体"/>
            <family val="3"/>
            <charset val="134"/>
          </rPr>
          <t xml:space="preserve">
</t>
        </r>
      </text>
    </comment>
    <comment ref="I112" authorId="0" shapeId="0" xr:uid="{5D3FB9B4-AD23-48A1-B72E-C21D9F97C286}">
      <text>
        <r>
          <rPr>
            <b/>
            <sz val="9"/>
            <color indexed="81"/>
            <rFont val="宋体"/>
            <family val="3"/>
            <charset val="134"/>
          </rPr>
          <t xml:space="preserve">所在楼层
</t>
        </r>
        <r>
          <rPr>
            <sz val="9"/>
            <color indexed="81"/>
            <rFont val="宋体"/>
            <family val="3"/>
            <charset val="134"/>
          </rPr>
          <t xml:space="preserve">
</t>
        </r>
      </text>
    </comment>
    <comment ref="J112" authorId="0" shapeId="0" xr:uid="{EF83F57D-53BA-43CA-8F82-F0F45549537F}">
      <text>
        <r>
          <rPr>
            <b/>
            <sz val="9"/>
            <color indexed="81"/>
            <rFont val="宋体"/>
            <family val="3"/>
            <charset val="134"/>
          </rPr>
          <t xml:space="preserve">所在楼层
</t>
        </r>
        <r>
          <rPr>
            <sz val="9"/>
            <color indexed="81"/>
            <rFont val="宋体"/>
            <family val="3"/>
            <charset val="134"/>
          </rPr>
          <t xml:space="preserve">
</t>
        </r>
      </text>
    </comment>
    <comment ref="K112" authorId="0" shapeId="0" xr:uid="{89D461BD-2AF4-40D2-A12A-E132C3E30476}">
      <text>
        <r>
          <rPr>
            <b/>
            <sz val="9"/>
            <color indexed="81"/>
            <rFont val="宋体"/>
            <family val="3"/>
            <charset val="134"/>
          </rPr>
          <t xml:space="preserve">所在楼层
</t>
        </r>
        <r>
          <rPr>
            <sz val="9"/>
            <color indexed="81"/>
            <rFont val="宋体"/>
            <family val="3"/>
            <charset val="134"/>
          </rPr>
          <t xml:space="preserve">
</t>
        </r>
      </text>
    </comment>
    <comment ref="L112" authorId="0" shapeId="0" xr:uid="{F3E7306F-4270-4F98-9DF4-DEE565287F76}">
      <text>
        <r>
          <rPr>
            <b/>
            <sz val="9"/>
            <color indexed="81"/>
            <rFont val="宋体"/>
            <family val="3"/>
            <charset val="134"/>
          </rPr>
          <t xml:space="preserve">所在楼层
</t>
        </r>
        <r>
          <rPr>
            <sz val="9"/>
            <color indexed="81"/>
            <rFont val="宋体"/>
            <family val="3"/>
            <charset val="134"/>
          </rPr>
          <t xml:space="preserve">
</t>
        </r>
      </text>
    </comment>
    <comment ref="M112" authorId="0" shapeId="0" xr:uid="{318DC972-51A1-49A6-8234-31A0C71ECB21}">
      <text>
        <r>
          <rPr>
            <b/>
            <sz val="9"/>
            <color indexed="81"/>
            <rFont val="宋体"/>
            <family val="3"/>
            <charset val="134"/>
          </rPr>
          <t xml:space="preserve">所在楼层
</t>
        </r>
        <r>
          <rPr>
            <sz val="9"/>
            <color indexed="81"/>
            <rFont val="宋体"/>
            <family val="3"/>
            <charset val="134"/>
          </rPr>
          <t xml:space="preserve">
</t>
        </r>
      </text>
    </comment>
    <comment ref="N112" authorId="0" shapeId="0" xr:uid="{8B18F03B-3218-49A7-B6DE-BE88C2A28D42}">
      <text>
        <r>
          <rPr>
            <b/>
            <sz val="9"/>
            <color indexed="81"/>
            <rFont val="宋体"/>
            <family val="3"/>
            <charset val="134"/>
          </rPr>
          <t xml:space="preserve">所在楼层
</t>
        </r>
        <r>
          <rPr>
            <sz val="9"/>
            <color indexed="81"/>
            <rFont val="宋体"/>
            <family val="3"/>
            <charset val="134"/>
          </rPr>
          <t xml:space="preserve">
</t>
        </r>
      </text>
    </comment>
    <comment ref="D117" authorId="0" shapeId="0" xr:uid="{E2173843-42E8-4871-9DCE-C6A859CB8D1A}">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0BE0452-4A41-4BE3-B321-1C0D8E4EAFED}">
      <text>
        <r>
          <rPr>
            <b/>
            <sz val="9"/>
            <color indexed="81"/>
            <rFont val="宋体"/>
            <family val="3"/>
            <charset val="134"/>
          </rPr>
          <t>对应区片地价表</t>
        </r>
        <r>
          <rPr>
            <sz val="9"/>
            <color indexed="81"/>
            <rFont val="宋体"/>
            <family val="3"/>
            <charset val="134"/>
          </rPr>
          <t xml:space="preserve">
</t>
        </r>
      </text>
    </comment>
    <comment ref="Y9" authorId="1" shapeId="0" xr:uid="{ECA22096-4D06-40F9-AA2D-5AC8B6B2AABC}">
      <text>
        <r>
          <rPr>
            <sz val="11"/>
            <color indexed="81"/>
            <rFont val="宋体"/>
            <family val="3"/>
            <charset val="134"/>
          </rPr>
          <t xml:space="preserve">录入层数，将对应的结果录入至左侧相应层的楼层修正系数单元格中
</t>
        </r>
      </text>
    </comment>
    <comment ref="C16" authorId="1" shapeId="0" xr:uid="{3517F99D-EBA5-430E-AABA-9B00DC1AD34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35884AE-8C30-450B-BCBB-1A4CAE2CB3C0}">
      <text>
        <r>
          <rPr>
            <sz val="12"/>
            <color indexed="81"/>
            <rFont val="宋体"/>
            <family val="3"/>
            <charset val="134"/>
          </rPr>
          <t>1.05~1.1</t>
        </r>
        <r>
          <rPr>
            <sz val="9"/>
            <color indexed="81"/>
            <rFont val="宋体"/>
            <family val="3"/>
            <charset val="134"/>
          </rPr>
          <t xml:space="preserve">
</t>
        </r>
      </text>
    </comment>
    <comment ref="E16" authorId="1" shapeId="0" xr:uid="{80FDBCEA-D2C3-498A-9F2B-E268502E4DE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5961495A-5340-409C-B48F-D05CD8548F0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D271B6D3-3C0D-40E5-905B-8057BFA2A377}">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8FA9BD26-0441-42BD-81D0-A952B48BA51C}">
      <text>
        <r>
          <rPr>
            <sz val="9"/>
            <color indexed="81"/>
            <rFont val="宋体"/>
            <family val="3"/>
            <charset val="134"/>
          </rPr>
          <t>需在此处填写剩余土地年限</t>
        </r>
      </text>
    </comment>
    <comment ref="C112" authorId="0" shapeId="0" xr:uid="{B21485BB-DD71-4DDD-9750-5B198FA27224}">
      <text>
        <r>
          <rPr>
            <b/>
            <sz val="9"/>
            <color indexed="81"/>
            <rFont val="宋体"/>
            <family val="3"/>
            <charset val="134"/>
          </rPr>
          <t xml:space="preserve">所在楼层
</t>
        </r>
        <r>
          <rPr>
            <sz val="9"/>
            <color indexed="81"/>
            <rFont val="宋体"/>
            <family val="3"/>
            <charset val="134"/>
          </rPr>
          <t xml:space="preserve">
</t>
        </r>
      </text>
    </comment>
    <comment ref="D112" authorId="0" shapeId="0" xr:uid="{0FAE2EBA-249F-44F1-B140-A87A94A693F1}">
      <text>
        <r>
          <rPr>
            <b/>
            <sz val="9"/>
            <color indexed="81"/>
            <rFont val="宋体"/>
            <family val="3"/>
            <charset val="134"/>
          </rPr>
          <t xml:space="preserve">所在楼层
</t>
        </r>
        <r>
          <rPr>
            <sz val="9"/>
            <color indexed="81"/>
            <rFont val="宋体"/>
            <family val="3"/>
            <charset val="134"/>
          </rPr>
          <t xml:space="preserve">
</t>
        </r>
      </text>
    </comment>
    <comment ref="E112" authorId="0" shapeId="0" xr:uid="{857B4C03-1428-48D3-BC45-13495B7591F8}">
      <text>
        <r>
          <rPr>
            <b/>
            <sz val="9"/>
            <color indexed="81"/>
            <rFont val="宋体"/>
            <family val="3"/>
            <charset val="134"/>
          </rPr>
          <t xml:space="preserve">所在楼层
</t>
        </r>
        <r>
          <rPr>
            <sz val="9"/>
            <color indexed="81"/>
            <rFont val="宋体"/>
            <family val="3"/>
            <charset val="134"/>
          </rPr>
          <t xml:space="preserve">
</t>
        </r>
      </text>
    </comment>
    <comment ref="F112" authorId="0" shapeId="0" xr:uid="{C7BD134B-AB99-4BAE-8FB0-EFDF7FB6A2D7}">
      <text>
        <r>
          <rPr>
            <b/>
            <sz val="9"/>
            <color indexed="81"/>
            <rFont val="宋体"/>
            <family val="3"/>
            <charset val="134"/>
          </rPr>
          <t xml:space="preserve">所在楼层
</t>
        </r>
        <r>
          <rPr>
            <sz val="9"/>
            <color indexed="81"/>
            <rFont val="宋体"/>
            <family val="3"/>
            <charset val="134"/>
          </rPr>
          <t xml:space="preserve">
</t>
        </r>
      </text>
    </comment>
    <comment ref="G112" authorId="0" shapeId="0" xr:uid="{E6A2EAB4-7065-47BB-A9D5-EDC9B9721260}">
      <text>
        <r>
          <rPr>
            <b/>
            <sz val="9"/>
            <color indexed="81"/>
            <rFont val="宋体"/>
            <family val="3"/>
            <charset val="134"/>
          </rPr>
          <t xml:space="preserve">所在楼层
</t>
        </r>
        <r>
          <rPr>
            <sz val="9"/>
            <color indexed="81"/>
            <rFont val="宋体"/>
            <family val="3"/>
            <charset val="134"/>
          </rPr>
          <t xml:space="preserve">
</t>
        </r>
      </text>
    </comment>
    <comment ref="H112" authorId="0" shapeId="0" xr:uid="{6920D628-498B-48B4-B0CF-33CE0E998022}">
      <text>
        <r>
          <rPr>
            <b/>
            <sz val="9"/>
            <color indexed="81"/>
            <rFont val="宋体"/>
            <family val="3"/>
            <charset val="134"/>
          </rPr>
          <t xml:space="preserve">所在楼层
</t>
        </r>
        <r>
          <rPr>
            <sz val="9"/>
            <color indexed="81"/>
            <rFont val="宋体"/>
            <family val="3"/>
            <charset val="134"/>
          </rPr>
          <t xml:space="preserve">
</t>
        </r>
      </text>
    </comment>
    <comment ref="I112" authorId="0" shapeId="0" xr:uid="{D97E9947-5ED1-4504-AF71-EF018BAFCFFD}">
      <text>
        <r>
          <rPr>
            <b/>
            <sz val="9"/>
            <color indexed="81"/>
            <rFont val="宋体"/>
            <family val="3"/>
            <charset val="134"/>
          </rPr>
          <t xml:space="preserve">所在楼层
</t>
        </r>
        <r>
          <rPr>
            <sz val="9"/>
            <color indexed="81"/>
            <rFont val="宋体"/>
            <family val="3"/>
            <charset val="134"/>
          </rPr>
          <t xml:space="preserve">
</t>
        </r>
      </text>
    </comment>
    <comment ref="J112" authorId="0" shapeId="0" xr:uid="{E2F81537-A3C7-4E01-874F-949726B4FCF9}">
      <text>
        <r>
          <rPr>
            <b/>
            <sz val="9"/>
            <color indexed="81"/>
            <rFont val="宋体"/>
            <family val="3"/>
            <charset val="134"/>
          </rPr>
          <t xml:space="preserve">所在楼层
</t>
        </r>
        <r>
          <rPr>
            <sz val="9"/>
            <color indexed="81"/>
            <rFont val="宋体"/>
            <family val="3"/>
            <charset val="134"/>
          </rPr>
          <t xml:space="preserve">
</t>
        </r>
      </text>
    </comment>
    <comment ref="K112" authorId="0" shapeId="0" xr:uid="{B32D0DCD-D659-495A-B3B9-CE0002B7766F}">
      <text>
        <r>
          <rPr>
            <b/>
            <sz val="9"/>
            <color indexed="81"/>
            <rFont val="宋体"/>
            <family val="3"/>
            <charset val="134"/>
          </rPr>
          <t xml:space="preserve">所在楼层
</t>
        </r>
        <r>
          <rPr>
            <sz val="9"/>
            <color indexed="81"/>
            <rFont val="宋体"/>
            <family val="3"/>
            <charset val="134"/>
          </rPr>
          <t xml:space="preserve">
</t>
        </r>
      </text>
    </comment>
    <comment ref="L112" authorId="0" shapeId="0" xr:uid="{E18EBC05-952E-4AAD-96FA-3A5B0A91033B}">
      <text>
        <r>
          <rPr>
            <b/>
            <sz val="9"/>
            <color indexed="81"/>
            <rFont val="宋体"/>
            <family val="3"/>
            <charset val="134"/>
          </rPr>
          <t xml:space="preserve">所在楼层
</t>
        </r>
        <r>
          <rPr>
            <sz val="9"/>
            <color indexed="81"/>
            <rFont val="宋体"/>
            <family val="3"/>
            <charset val="134"/>
          </rPr>
          <t xml:space="preserve">
</t>
        </r>
      </text>
    </comment>
    <comment ref="M112" authorId="0" shapeId="0" xr:uid="{CDFFF824-BEBE-429C-8218-A029A21A25B7}">
      <text>
        <r>
          <rPr>
            <b/>
            <sz val="9"/>
            <color indexed="81"/>
            <rFont val="宋体"/>
            <family val="3"/>
            <charset val="134"/>
          </rPr>
          <t xml:space="preserve">所在楼层
</t>
        </r>
        <r>
          <rPr>
            <sz val="9"/>
            <color indexed="81"/>
            <rFont val="宋体"/>
            <family val="3"/>
            <charset val="134"/>
          </rPr>
          <t xml:space="preserve">
</t>
        </r>
      </text>
    </comment>
    <comment ref="N112" authorId="0" shapeId="0" xr:uid="{3F4BF534-40C4-4C4D-AFA3-C7AE890386E6}">
      <text>
        <r>
          <rPr>
            <b/>
            <sz val="9"/>
            <color indexed="81"/>
            <rFont val="宋体"/>
            <family val="3"/>
            <charset val="134"/>
          </rPr>
          <t xml:space="preserve">所在楼层
</t>
        </r>
        <r>
          <rPr>
            <sz val="9"/>
            <color indexed="81"/>
            <rFont val="宋体"/>
            <family val="3"/>
            <charset val="134"/>
          </rPr>
          <t xml:space="preserve">
</t>
        </r>
      </text>
    </comment>
    <comment ref="D117" authorId="0" shapeId="0" xr:uid="{32857741-77E0-4910-BCBC-59869F78B239}">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<sst xmlns="http://schemas.openxmlformats.org/spreadsheetml/2006/main" count="8758" uniqueCount="3109">
  <si>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</si>
  <si>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</si>
  <si>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</si>
  <si>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</si>
  <si>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</si>
  <si>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</si>
  <si>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</si>
  <si>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</si>
  <si>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</si>
  <si>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</si>
  <si>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</si>
  <si>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</si>
  <si>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</si>
  <si>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</si>
  <si>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</si>
  <si>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</si>
  <si>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</si>
  <si>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</si>
  <si>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</si>
  <si>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</si>
  <si>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</si>
  <si>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</si>
  <si>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</si>
  <si>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</si>
  <si>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</si>
  <si>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</si>
  <si>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</si>
  <si>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</si>
  <si>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</si>
  <si>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</si>
  <si>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</si>
  <si>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</si>
  <si>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</si>
  <si>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</si>
  <si>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</si>
  <si>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</si>
  <si>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</si>
  <si>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</si>
  <si>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</si>
  <si>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</si>
  <si>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</si>
  <si>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</si>
  <si>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</si>
  <si>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</si>
  <si>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</si>
  <si>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</si>
  <si>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</si>
  <si>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</si>
  <si>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</si>
  <si>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</si>
  <si>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</si>
  <si>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</si>
  <si>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</si>
  <si>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</si>
  <si>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</si>
  <si>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</si>
  <si>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</si>
  <si>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</si>
  <si>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</si>
  <si>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</si>
  <si>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</si>
  <si>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</si>
  <si>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</si>
  <si>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</si>
  <si>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</si>
  <si>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</si>
  <si>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</si>
  <si>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</si>
  <si>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</si>
  <si>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</si>
  <si>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</si>
  <si>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</si>
  <si>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</si>
  <si>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</si>
  <si>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</si>
  <si>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</si>
  <si>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</si>
  <si>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</si>
  <si>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</si>
  <si>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</si>
  <si>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</si>
  <si>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</si>
  <si>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</si>
  <si>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</si>
  <si>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</si>
  <si>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</si>
  <si>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</si>
  <si>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</si>
  <si>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</si>
  <si>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</si>
  <si>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</si>
  <si>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</si>
  <si>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</si>
  <si>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</si>
  <si>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</si>
  <si>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</si>
  <si>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</si>
  <si>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</si>
  <si>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</si>
  <si>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</si>
  <si>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</si>
  <si>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</si>
  <si>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</si>
  <si>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</si>
  <si>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</si>
  <si>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</si>
  <si>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</si>
  <si>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</si>
  <si>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</si>
  <si>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</si>
  <si>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</si>
  <si>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</si>
  <si>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</si>
  <si>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</si>
  <si>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</si>
  <si>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</si>
  <si>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</si>
  <si>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</si>
  <si>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</si>
  <si>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</si>
  <si>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</si>
  <si>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</si>
  <si>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</si>
  <si>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</si>
  <si>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</si>
  <si>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</si>
  <si>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</si>
  <si>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</si>
  <si>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</si>
  <si>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</si>
  <si>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</si>
  <si>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</si>
  <si>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</si>
  <si>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</si>
  <si>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</si>
  <si>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</si>
  <si>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</si>
  <si>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</si>
  <si>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</si>
  <si>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</si>
  <si>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</si>
  <si>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</si>
  <si>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</si>
  <si>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</si>
  <si>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</si>
  <si>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</si>
  <si>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</si>
  <si>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</si>
  <si>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</si>
  <si>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</si>
  <si>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</si>
  <si>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</si>
  <si>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</si>
  <si>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</si>
  <si>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</si>
  <si>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</si>
  <si>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</si>
  <si>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</si>
  <si>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</si>
  <si>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</si>
  <si>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</si>
  <si>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</si>
  <si>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</si>
  <si>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</si>
  <si>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</si>
  <si>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</si>
  <si>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</si>
  <si>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</si>
  <si>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</si>
  <si>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</si>
  <si>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</si>
  <si>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</si>
  <si>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</si>
  <si>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</si>
  <si>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</si>
  <si>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</si>
  <si>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</si>
  <si>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</si>
  <si>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</si>
  <si>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</si>
  <si>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</si>
  <si>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</si>
  <si>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</si>
  <si>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</si>
  <si>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</si>
  <si>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</si>
  <si>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</si>
  <si>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</si>
  <si>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</si>
  <si>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</si>
  <si>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</si>
  <si>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</si>
  <si>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</si>
  <si>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</si>
  <si>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</si>
  <si>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</si>
  <si>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</si>
  <si>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</si>
  <si>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</si>
  <si>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</si>
  <si>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</si>
  <si>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</si>
  <si>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</si>
  <si>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</si>
  <si>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</si>
  <si>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</si>
  <si>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</si>
  <si>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</si>
  <si>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</si>
  <si>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</si>
  <si>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</si>
  <si>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</si>
  <si>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</si>
  <si>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</si>
  <si>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</si>
  <si>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</si>
  <si>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</si>
  <si>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</si>
  <si>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</si>
  <si>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</si>
  <si>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</si>
  <si>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</si>
  <si>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</si>
  <si>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</si>
  <si>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</si>
  <si>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</si>
  <si>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</si>
  <si>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</si>
  <si>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</si>
  <si>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</si>
  <si>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</si>
  <si>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</si>
  <si>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</si>
  <si>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</si>
  <si>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</si>
  <si>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</si>
  <si>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</si>
  <si>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</si>
  <si>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</si>
  <si>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</si>
  <si>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</si>
  <si>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</si>
  <si>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</si>
  <si>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</si>
  <si>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</si>
  <si>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</si>
  <si>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</si>
  <si>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</si>
  <si>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</si>
  <si>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</si>
  <si>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</si>
  <si>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</si>
  <si>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</si>
  <si>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</si>
  <si>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</si>
  <si>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</si>
  <si>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</si>
  <si>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</si>
  <si>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</si>
  <si>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</si>
  <si>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</si>
  <si>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</si>
  <si>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</si>
  <si>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</si>
  <si>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</si>
  <si>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</si>
  <si>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</si>
  <si>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</si>
  <si>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</si>
  <si>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</si>
  <si>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</si>
  <si>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</si>
  <si>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</si>
  <si>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</si>
  <si>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</si>
  <si>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</si>
  <si>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</si>
  <si>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</si>
  <si>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</si>
  <si>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</si>
  <si>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</si>
  <si>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</si>
  <si>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</si>
  <si>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</si>
  <si>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</si>
  <si>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</si>
  <si>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</si>
  <si>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</si>
  <si>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</si>
  <si>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</si>
  <si>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</si>
  <si>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</si>
  <si>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</si>
  <si>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</si>
  <si>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</si>
  <si>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</si>
  <si>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</si>
  <si>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</si>
  <si>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</si>
  <si>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</si>
  <si>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</si>
  <si>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</si>
  <si>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</si>
  <si>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</si>
  <si>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</si>
  <si>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</si>
  <si>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</si>
  <si>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</si>
  <si>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</si>
  <si>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</si>
  <si>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</si>
  <si>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</si>
  <si>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</si>
  <si>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</si>
  <si>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</si>
  <si>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</si>
  <si>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</si>
  <si>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</si>
  <si>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</si>
  <si>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</si>
  <si>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</si>
  <si>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</si>
  <si>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</si>
  <si>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</si>
  <si>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</si>
  <si>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</si>
  <si>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</si>
  <si>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</si>
  <si>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</si>
  <si>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</si>
  <si>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</si>
  <si>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</si>
  <si>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</si>
  <si>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</si>
  <si>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</si>
  <si>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</si>
  <si>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</si>
  <si>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</si>
  <si>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</si>
  <si>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</si>
  <si>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</si>
  <si>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</si>
  <si>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</si>
  <si>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</si>
  <si>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</si>
  <si>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</si>
  <si>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</si>
  <si>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</si>
  <si>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</si>
  <si>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</si>
  <si>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</si>
  <si>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</si>
  <si>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</si>
  <si>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</si>
  <si>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</si>
  <si>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</si>
  <si>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</si>
  <si>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</si>
  <si>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</si>
  <si>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</si>
  <si>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</si>
  <si>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</si>
  <si>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</si>
  <si>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</si>
  <si>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</si>
  <si>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</si>
  <si>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</si>
  <si>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</si>
  <si>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</si>
  <si>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</si>
  <si>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</si>
  <si>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</si>
  <si>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</si>
  <si>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</si>
  <si>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</si>
  <si>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</si>
  <si>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</si>
  <si>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</si>
  <si>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</si>
  <si>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</si>
  <si>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</si>
  <si>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</si>
  <si>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</si>
  <si>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</si>
  <si>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</si>
  <si>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</si>
  <si>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</si>
  <si>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</si>
  <si>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</si>
  <si>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</si>
  <si>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</si>
  <si>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</si>
  <si>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</si>
  <si>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</si>
  <si>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</si>
  <si>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</si>
  <si>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</si>
  <si>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</si>
  <si>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</si>
  <si>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</si>
  <si>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</si>
  <si>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</si>
  <si>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</si>
  <si>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</si>
  <si>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</si>
  <si>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</si>
  <si>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</si>
  <si>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</si>
  <si>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</si>
  <si>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</si>
  <si>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</si>
  <si>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</si>
  <si>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</si>
  <si>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</si>
  <si>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</si>
  <si>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</si>
  <si>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</si>
  <si>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</si>
  <si>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</si>
  <si>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</si>
  <si>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</si>
  <si>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</si>
  <si>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</si>
  <si>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</si>
  <si>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</si>
  <si>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</si>
  <si>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</si>
  <si>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</si>
  <si>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</si>
  <si>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</si>
  <si>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</si>
  <si>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</si>
  <si>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</si>
  <si>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</si>
  <si>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</si>
  <si>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</si>
  <si>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</si>
  <si>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</si>
  <si>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</si>
  <si>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</si>
  <si>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</si>
  <si>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</si>
  <si>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</si>
  <si>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</si>
  <si>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</si>
  <si>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</si>
  <si>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</si>
  <si>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</si>
  <si>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</si>
  <si>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</si>
  <si>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</si>
  <si>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</si>
  <si>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</si>
  <si>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</si>
  <si>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</si>
  <si>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</si>
  <si>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</si>
  <si>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</si>
  <si>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</si>
  <si>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</si>
  <si>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</si>
  <si>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</si>
  <si>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</si>
  <si>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</si>
  <si>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</si>
  <si>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</si>
  <si>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</si>
  <si>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</si>
  <si>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</si>
  <si>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</si>
  <si>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</si>
  <si>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</si>
  <si>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</si>
  <si>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</si>
  <si>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</si>
  <si>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</si>
  <si>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</si>
  <si>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</si>
  <si>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</si>
  <si>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</si>
  <si>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</si>
  <si>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</si>
  <si>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</si>
  <si>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</si>
  <si>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</si>
  <si>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</si>
  <si>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</si>
  <si>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</si>
  <si>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</si>
  <si>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</si>
  <si>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</si>
  <si>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</si>
  <si>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</si>
  <si>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</si>
  <si>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</si>
  <si>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</si>
  <si>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</si>
  <si>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</si>
  <si>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</si>
  <si>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</si>
  <si>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</si>
  <si>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</si>
  <si>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</si>
  <si>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</si>
  <si>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</si>
  <si>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</si>
  <si>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</si>
  <si>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</si>
  <si>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</si>
  <si>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</si>
  <si>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</si>
  <si>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</si>
  <si>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</si>
  <si>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</si>
  <si>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</si>
  <si>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</si>
  <si>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</si>
  <si>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</si>
  <si>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</si>
  <si>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</si>
  <si>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</si>
  <si>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</si>
  <si>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</si>
  <si>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</si>
  <si>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</si>
  <si>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</si>
  <si>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</si>
  <si>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</si>
  <si>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</si>
  <si>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</si>
  <si>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</si>
  <si>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</si>
  <si>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</si>
  <si>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</si>
  <si>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</si>
  <si>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</si>
  <si>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</si>
  <si>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</si>
  <si>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</si>
  <si>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</si>
  <si>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</si>
  <si>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</si>
  <si>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</si>
  <si>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</si>
  <si>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</si>
  <si>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</si>
  <si>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</si>
  <si>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</si>
  <si>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</si>
  <si>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</si>
  <si>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</si>
  <si>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</si>
  <si>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</si>
  <si>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</si>
  <si>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</si>
  <si>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</si>
  <si>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</si>
  <si>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</si>
  <si>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</si>
  <si>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</si>
  <si>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</si>
  <si>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</si>
  <si>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</si>
  <si>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</si>
  <si>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</si>
  <si>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</si>
  <si>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</si>
  <si>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</si>
  <si>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</si>
  <si>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</si>
  <si>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</si>
  <si>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</si>
  <si>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</si>
  <si>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</si>
  <si>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</si>
  <si>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</si>
  <si>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</si>
  <si>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</si>
  <si>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</si>
  <si>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</si>
  <si>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</si>
  <si>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</si>
  <si>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</si>
  <si>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</si>
  <si>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</si>
  <si>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</si>
  <si>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</si>
  <si>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</si>
  <si>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</si>
  <si>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</si>
  <si>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</si>
  <si>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</si>
  <si>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</si>
  <si>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</si>
  <si>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</si>
  <si>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</si>
  <si>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</si>
  <si>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</si>
  <si>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</si>
  <si>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</si>
  <si>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</si>
  <si>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</si>
  <si>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</si>
  <si>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</si>
  <si>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</si>
  <si>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</si>
  <si>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</si>
  <si>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</si>
  <si>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</si>
  <si>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</si>
  <si>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</si>
  <si>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</si>
  <si>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</si>
  <si>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</si>
  <si>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</si>
  <si>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</si>
  <si>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</si>
  <si>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</si>
  <si>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</si>
  <si>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</si>
  <si>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</si>
  <si>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</si>
  <si>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</si>
  <si>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</si>
  <si>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</si>
  <si>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</si>
  <si>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</si>
  <si>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</si>
  <si>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</si>
  <si>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</si>
  <si>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</si>
  <si>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</si>
  <si>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</si>
  <si>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</si>
  <si>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</si>
  <si>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</si>
  <si>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</si>
  <si>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</si>
  <si>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</si>
  <si>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</si>
  <si>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</si>
  <si>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</si>
  <si>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</si>
  <si>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</si>
  <si>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</si>
  <si>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</si>
  <si>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</si>
  <si>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</si>
  <si>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</si>
  <si>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</si>
  <si>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</si>
  <si>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</si>
  <si>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</si>
  <si>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</si>
  <si>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</si>
  <si>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</si>
  <si>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</si>
  <si>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</si>
  <si>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</si>
  <si>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</si>
  <si>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</si>
  <si>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</si>
  <si>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</si>
  <si>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</si>
  <si>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</si>
  <si>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</si>
  <si>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</si>
  <si>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</si>
  <si>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</si>
  <si>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</si>
  <si>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</si>
  <si>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</si>
  <si>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</si>
  <si>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</si>
  <si>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</si>
  <si>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</si>
  <si>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</si>
  <si>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</si>
  <si>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</si>
  <si>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</si>
  <si>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</si>
  <si>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</si>
  <si>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</si>
  <si>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</si>
  <si>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</si>
  <si>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</si>
  <si>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</si>
  <si>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</si>
  <si>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</si>
  <si>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</si>
  <si>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</si>
  <si>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</si>
  <si>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</si>
  <si>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</si>
  <si>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</si>
  <si>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</si>
  <si>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</si>
  <si>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</si>
  <si>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</si>
  <si>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</si>
  <si>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</si>
  <si>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</si>
  <si>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</si>
  <si>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</si>
  <si>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</si>
  <si>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</si>
  <si>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</si>
  <si>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</si>
  <si>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</si>
  <si>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</si>
  <si>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</si>
  <si>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</si>
  <si>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</si>
  <si>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</si>
  <si>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</si>
  <si>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</si>
  <si>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</si>
  <si>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</si>
  <si>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</si>
  <si>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</si>
  <si>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</si>
  <si>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</si>
  <si>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</si>
  <si>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</si>
  <si>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</si>
  <si>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</si>
  <si>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</si>
  <si>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</si>
  <si>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</si>
  <si>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</si>
  <si>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</si>
  <si>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</si>
  <si>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</si>
  <si>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</si>
  <si>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</si>
  <si>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</si>
  <si>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</si>
  <si>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</si>
  <si>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</si>
  <si>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</si>
  <si>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</si>
  <si>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</si>
  <si>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</si>
  <si>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</si>
  <si>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</si>
  <si>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</si>
  <si>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</si>
  <si>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</si>
  <si>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</si>
  <si>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</si>
  <si>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</si>
  <si>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</si>
  <si>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</si>
  <si>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</si>
  <si>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</si>
  <si>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</si>
  <si>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</si>
  <si>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</si>
  <si>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</si>
  <si>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</si>
  <si>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</si>
  <si>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</si>
  <si>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</si>
  <si>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</si>
  <si>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</si>
  <si>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</si>
  <si>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</si>
  <si>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</si>
  <si>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</si>
  <si>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</si>
  <si>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</si>
  <si>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</si>
  <si>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</si>
  <si>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</si>
  <si>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</si>
  <si>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</si>
  <si>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</si>
  <si>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</si>
  <si>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</si>
  <si>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</si>
  <si>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</si>
  <si>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</si>
  <si>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</si>
  <si>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</si>
  <si>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</si>
  <si>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</si>
  <si>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</si>
  <si>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</si>
  <si>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</si>
  <si>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</si>
  <si>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</si>
  <si>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</si>
  <si>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</si>
  <si>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</si>
  <si>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</si>
  <si>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</si>
  <si>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</si>
  <si>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</si>
  <si>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</si>
  <si>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</si>
  <si>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</si>
  <si>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</si>
  <si>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</si>
  <si>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</si>
  <si>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</si>
  <si>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</si>
  <si>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</si>
  <si>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</si>
  <si>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</si>
  <si>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</si>
  <si>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</si>
  <si>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</si>
  <si>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</si>
  <si>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</si>
  <si>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</si>
  <si>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</si>
  <si>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</si>
  <si>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</si>
  <si>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</si>
  <si>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</si>
  <si>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</si>
  <si>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</si>
  <si>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</si>
  <si>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</si>
  <si>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</si>
  <si>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</si>
  <si>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</si>
  <si>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</si>
  <si>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</si>
  <si>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</si>
  <si>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</si>
  <si>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</si>
  <si>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</si>
  <si>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</si>
  <si>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</si>
  <si>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</si>
  <si>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</si>
  <si>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</si>
  <si>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</si>
  <si>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</si>
  <si>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</si>
  <si>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</si>
  <si>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</si>
  <si>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</si>
  <si>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</si>
  <si>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</si>
  <si>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</si>
  <si>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</si>
  <si>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</si>
  <si>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</si>
  <si>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</si>
  <si>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</si>
  <si>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</si>
  <si>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</si>
  <si>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</si>
  <si>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</si>
  <si>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</si>
  <si>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</si>
  <si>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</si>
  <si>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</si>
  <si>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</si>
  <si>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</si>
  <si>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</si>
  <si>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</si>
  <si>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</si>
  <si>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</si>
  <si>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</si>
  <si>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</si>
  <si>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</si>
  <si>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</si>
  <si>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</si>
  <si>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</si>
  <si>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</si>
  <si>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</si>
  <si>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</si>
  <si>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</si>
  <si>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</si>
  <si>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</si>
  <si>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</si>
  <si>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</si>
  <si>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</si>
  <si>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</si>
  <si>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</si>
  <si>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</si>
  <si>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</si>
  <si>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</si>
  <si>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</si>
  <si>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</si>
  <si>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</si>
  <si>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</si>
  <si>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</si>
  <si>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</si>
  <si>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</si>
  <si>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</si>
  <si>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</si>
  <si>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</si>
  <si>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</si>
  <si>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</si>
  <si>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</si>
  <si>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</si>
  <si>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</si>
  <si>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</si>
  <si>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</si>
  <si>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</si>
  <si>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</si>
  <si>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</si>
  <si>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</si>
  <si>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</si>
  <si>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</si>
  <si>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</si>
  <si>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</si>
  <si>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</si>
  <si>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</si>
  <si>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</si>
  <si>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</si>
  <si>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</si>
  <si>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</si>
  <si>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</si>
  <si>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</si>
  <si>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</si>
  <si>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</si>
  <si>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</si>
  <si>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</si>
  <si>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</si>
  <si>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</si>
  <si>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</si>
  <si>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</si>
  <si>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</si>
  <si>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</si>
  <si>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</si>
  <si>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</si>
  <si>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</si>
  <si>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</si>
  <si>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</si>
  <si>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</si>
  <si>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</si>
  <si>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</si>
  <si>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</si>
  <si>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</si>
  <si>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</si>
  <si>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</si>
  <si>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</si>
  <si>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</si>
  <si>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</si>
  <si>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</si>
  <si>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</si>
  <si>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</si>
  <si>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</si>
  <si>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</si>
  <si>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</si>
  <si>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</si>
  <si>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</si>
  <si>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</si>
  <si>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</si>
  <si>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</si>
  <si>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</si>
  <si>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</si>
  <si>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</si>
  <si>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</si>
  <si>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</si>
  <si>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</si>
  <si>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</si>
  <si>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</si>
  <si>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</si>
  <si>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</si>
  <si>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</si>
  <si>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</si>
  <si>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</si>
  <si>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</si>
  <si>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</si>
  <si>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</si>
  <si>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</si>
  <si>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</si>
  <si>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</si>
  <si>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</si>
  <si>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</si>
  <si>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</si>
  <si>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</si>
  <si>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</si>
  <si>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</si>
  <si>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</si>
  <si>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</si>
  <si>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</si>
  <si>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</si>
  <si>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</si>
  <si>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</si>
  <si>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</si>
  <si>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</si>
  <si>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</si>
  <si>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</si>
  <si>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</si>
  <si>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</si>
  <si>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</si>
  <si>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</si>
  <si>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</si>
  <si>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</si>
  <si>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</si>
  <si>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</si>
  <si>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</si>
  <si>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</si>
  <si>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</si>
  <si>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</si>
  <si>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</si>
  <si>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</si>
  <si>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</si>
  <si>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</si>
  <si>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</si>
  <si>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</si>
  <si>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</si>
  <si>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</si>
  <si>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</si>
  <si>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</si>
  <si>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</si>
  <si>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</si>
  <si>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</si>
  <si>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</si>
  <si>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</si>
  <si>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</si>
  <si>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</si>
  <si>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</si>
  <si>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</si>
  <si>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</si>
  <si>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</si>
  <si>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</si>
  <si>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</si>
  <si>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</si>
  <si>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</si>
  <si>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</si>
  <si>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</si>
  <si>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</si>
  <si>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</si>
  <si>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</si>
  <si>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</si>
  <si>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</si>
  <si>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</si>
  <si>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</si>
  <si>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</si>
  <si>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</si>
  <si>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</si>
  <si>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</si>
  <si>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</si>
  <si>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</si>
  <si>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</si>
  <si>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</si>
  <si>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</si>
  <si>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</si>
  <si>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</si>
  <si>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</si>
  <si>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</si>
  <si>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</si>
  <si>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</si>
  <si>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</si>
  <si>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</si>
  <si>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</si>
  <si>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</si>
  <si>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</si>
  <si>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</si>
  <si>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</si>
  <si>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</si>
  <si>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</si>
  <si>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</si>
  <si>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</si>
  <si>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</si>
  <si>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</si>
  <si>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</si>
  <si>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</si>
  <si>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</si>
  <si>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</si>
  <si>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</si>
  <si>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</si>
  <si>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</si>
  <si>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</si>
  <si>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</si>
  <si>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</si>
  <si>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</si>
  <si>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</si>
  <si>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</si>
  <si>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</si>
  <si>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</si>
  <si>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</si>
  <si>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</si>
  <si>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</si>
  <si>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</si>
  <si>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</si>
  <si>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</si>
  <si>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</si>
  <si>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</si>
  <si>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</si>
  <si>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</si>
  <si>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</si>
  <si>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</si>
  <si>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</si>
  <si>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</si>
  <si>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</si>
  <si>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</si>
  <si>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</si>
  <si>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</si>
  <si>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</si>
  <si>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</si>
  <si>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</si>
  <si>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</si>
  <si>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</si>
  <si>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</si>
  <si>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</si>
  <si>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</si>
  <si>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</si>
  <si>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</si>
  <si>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</si>
  <si>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</si>
  <si>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</si>
  <si>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</si>
  <si>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</si>
  <si>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</si>
  <si>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</si>
  <si>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</si>
  <si>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</si>
  <si>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</si>
  <si>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</si>
  <si>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</si>
  <si>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</si>
  <si>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</si>
  <si>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</si>
  <si>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</si>
  <si>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</si>
  <si>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</si>
  <si>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</si>
  <si>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</si>
  <si>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</si>
  <si>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</si>
  <si>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</si>
  <si>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</si>
  <si>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</si>
  <si>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</si>
  <si>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</si>
  <si>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</si>
  <si>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</si>
  <si>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</si>
  <si>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</si>
  <si>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</si>
  <si>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</si>
  <si>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</si>
  <si>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</si>
  <si>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</si>
  <si>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</si>
  <si>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</si>
  <si>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</si>
  <si>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</si>
  <si>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</si>
  <si>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</si>
  <si>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</si>
  <si>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</si>
  <si>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</si>
  <si>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</si>
  <si>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</si>
  <si>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</si>
  <si>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</si>
  <si>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</si>
  <si>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</si>
  <si>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</si>
  <si>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</si>
  <si>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</si>
  <si>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</si>
  <si>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</si>
  <si>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</si>
  <si>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</si>
  <si>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</si>
  <si>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</si>
  <si>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</si>
  <si>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</si>
  <si>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</si>
  <si>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</si>
  <si>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</si>
  <si>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</si>
  <si>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</si>
  <si>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</si>
  <si>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</si>
  <si>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</si>
  <si>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</si>
  <si>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</si>
  <si>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</si>
  <si>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</si>
  <si>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</si>
  <si>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</si>
  <si>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</si>
  <si>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</si>
  <si>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</si>
  <si>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</si>
  <si>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</si>
  <si>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</si>
  <si>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</si>
  <si>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</si>
  <si>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</si>
  <si>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</si>
  <si>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</si>
  <si>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</si>
  <si>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</si>
  <si>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</si>
  <si>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</si>
  <si>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</si>
  <si>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</si>
  <si>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</si>
  <si>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</si>
  <si>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</si>
  <si>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</si>
  <si>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</si>
  <si>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</si>
  <si>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</si>
  <si>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</si>
  <si>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</si>
  <si>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</si>
  <si>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</si>
  <si>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</si>
  <si>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</si>
  <si>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</si>
  <si>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</si>
  <si>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</si>
  <si>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</si>
  <si>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</si>
  <si>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</si>
  <si>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</si>
  <si>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</si>
  <si>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</si>
  <si>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</si>
  <si>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</si>
  <si>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</si>
  <si>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</si>
  <si>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</si>
  <si>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</si>
  <si>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</si>
  <si>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</si>
  <si>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</si>
  <si>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</si>
  <si>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</si>
  <si>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</si>
  <si>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</si>
  <si>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</si>
  <si>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</si>
  <si>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</si>
  <si>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</si>
  <si>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</si>
  <si>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</si>
  <si>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</si>
  <si>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</si>
  <si>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</si>
  <si>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</si>
  <si>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</si>
  <si>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</si>
  <si>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</si>
  <si>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</si>
  <si>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</si>
  <si>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</si>
  <si>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</si>
  <si>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</si>
  <si>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</si>
  <si>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</si>
  <si>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</si>
  <si>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</si>
  <si>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</si>
  <si>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</si>
  <si>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</si>
  <si>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</si>
  <si>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</si>
  <si>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</si>
  <si>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</si>
  <si>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</si>
  <si>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</si>
  <si>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</si>
  <si>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</si>
  <si>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</si>
  <si>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</si>
  <si>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</si>
  <si>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</si>
  <si>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</si>
  <si>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</si>
  <si>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</si>
  <si>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</si>
  <si>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</si>
  <si>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</si>
  <si>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</si>
  <si>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</si>
  <si>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</si>
  <si>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</si>
  <si>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</si>
  <si>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</si>
  <si>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</si>
  <si>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</si>
  <si>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</si>
  <si>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</si>
  <si>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</si>
  <si>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</si>
  <si>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</si>
  <si>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</si>
  <si>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</si>
  <si>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</si>
  <si>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</si>
  <si>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</si>
  <si>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</si>
  <si>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</si>
  <si>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</si>
  <si>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</si>
  <si>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</si>
  <si>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</si>
  <si>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</si>
  <si>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</si>
  <si>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</si>
  <si>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</si>
  <si>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</si>
  <si>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</si>
  <si>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</si>
  <si>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</si>
  <si>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</si>
  <si>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</si>
  <si>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</si>
  <si>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</si>
  <si>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</si>
  <si>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</si>
  <si>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</si>
  <si>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</si>
  <si>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</si>
  <si>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</si>
  <si>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</si>
  <si>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</si>
  <si>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</si>
  <si>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</si>
  <si>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</si>
  <si>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</si>
  <si>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</si>
  <si>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</si>
  <si>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</si>
  <si>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</si>
  <si>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</si>
  <si>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</si>
  <si>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</si>
  <si>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</si>
  <si>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</si>
  <si>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</si>
  <si>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</si>
  <si>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</si>
  <si>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</si>
  <si>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</si>
  <si>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</si>
  <si>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</si>
  <si>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</si>
  <si>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</si>
  <si>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</si>
  <si>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</si>
  <si>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</si>
  <si>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</si>
  <si>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</si>
  <si>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</si>
  <si>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</si>
  <si>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</si>
  <si>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</si>
  <si>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</si>
  <si>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</si>
  <si>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</si>
  <si>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</si>
  <si>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</si>
  <si>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</si>
  <si>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</si>
  <si>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</si>
  <si>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</si>
  <si>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</si>
  <si>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</si>
  <si>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</si>
  <si>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</si>
  <si>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</si>
  <si>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</si>
  <si>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</si>
  <si>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</si>
  <si>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</si>
  <si>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</si>
  <si>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</si>
  <si>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</si>
  <si>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</si>
  <si>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</si>
  <si>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</si>
  <si>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</si>
  <si>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</si>
  <si>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</si>
  <si>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</si>
  <si>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</si>
  <si>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</si>
  <si>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</si>
  <si>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</si>
  <si>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</si>
  <si>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</si>
  <si>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</si>
  <si>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</si>
  <si>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</si>
  <si>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</si>
  <si>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</si>
  <si>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</si>
  <si>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</si>
  <si>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</si>
  <si>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</si>
  <si>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</si>
  <si>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</si>
  <si>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</si>
  <si>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</si>
  <si>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</si>
  <si>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</si>
  <si>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</si>
  <si>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</si>
  <si>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</si>
  <si>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</si>
  <si>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</si>
  <si>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</si>
  <si>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</si>
  <si>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</si>
  <si>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</si>
  <si>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</si>
  <si>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</si>
  <si>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</si>
  <si>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</si>
  <si>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</si>
  <si>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</si>
  <si>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</si>
  <si>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</si>
  <si>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</si>
  <si>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</si>
  <si>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</si>
  <si>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</si>
  <si>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</si>
  <si>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</si>
  <si>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</si>
  <si>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</si>
  <si>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</si>
  <si>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</si>
  <si>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</si>
  <si>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</si>
  <si>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</si>
  <si>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</si>
  <si>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</si>
  <si>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</si>
  <si>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</si>
  <si>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</si>
  <si>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</si>
  <si>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</si>
  <si>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</si>
  <si>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</si>
  <si>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</si>
  <si>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</si>
  <si>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</si>
  <si>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</si>
  <si>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</si>
  <si>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</si>
  <si>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</si>
  <si>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</si>
  <si>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</si>
  <si>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</si>
  <si>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</si>
  <si>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</si>
  <si>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</si>
  <si>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</si>
  <si>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</si>
  <si>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</si>
  <si>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</si>
  <si>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</si>
  <si>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</si>
  <si>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</si>
  <si>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</si>
  <si>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</si>
  <si>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</si>
  <si>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</si>
  <si>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</si>
  <si>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</si>
  <si>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</si>
  <si>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</si>
  <si>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</si>
  <si>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</si>
  <si>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</si>
  <si>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</si>
  <si>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</si>
  <si>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</si>
  <si>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</si>
  <si>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</si>
  <si>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</si>
  <si>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</si>
  <si>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</si>
  <si>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</si>
  <si>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</si>
  <si>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</si>
  <si>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</si>
  <si>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</si>
  <si>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</si>
  <si>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</si>
  <si>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</si>
  <si>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</si>
  <si>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</si>
  <si>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</si>
  <si>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</si>
  <si>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</si>
  <si>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</si>
  <si>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</si>
  <si>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</si>
  <si>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</si>
  <si>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</si>
  <si>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</si>
  <si>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</si>
  <si>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</si>
  <si>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</si>
  <si>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</si>
  <si>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</si>
  <si>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</si>
  <si>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</si>
  <si>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</si>
  <si>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</si>
  <si>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</si>
  <si>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</si>
  <si>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</si>
  <si>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</si>
  <si>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</si>
  <si>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</si>
  <si>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</si>
  <si>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</si>
  <si>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</si>
  <si>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</si>
  <si>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</si>
  <si>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</si>
  <si>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</si>
  <si>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</si>
  <si>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</si>
  <si>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</si>
  <si>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</si>
  <si>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</si>
  <si>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</si>
  <si>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</si>
  <si>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</si>
  <si>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</si>
  <si>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</si>
  <si>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</si>
  <si>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</si>
  <si>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</si>
  <si>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</si>
  <si>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</si>
  <si>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</si>
  <si>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</si>
  <si>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</si>
  <si>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</si>
  <si>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</si>
  <si>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</si>
  <si>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</si>
  <si>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</si>
  <si>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</si>
  <si>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</si>
  <si>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</si>
  <si>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</si>
  <si>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</si>
  <si>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</si>
  <si>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</si>
  <si>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</si>
  <si>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</si>
  <si>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</si>
  <si>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</si>
  <si>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</si>
  <si>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</si>
  <si>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</si>
  <si>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</si>
  <si>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</si>
  <si>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</si>
  <si>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</si>
  <si>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</si>
  <si>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</si>
  <si>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</si>
  <si>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</si>
  <si>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</si>
  <si>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</si>
  <si>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</si>
  <si>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</si>
  <si>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</si>
  <si>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</si>
  <si>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</si>
  <si>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</si>
  <si>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</si>
  <si>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</si>
  <si>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</si>
  <si>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</si>
  <si>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</si>
  <si>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</si>
  <si>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</si>
  <si>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</si>
  <si>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</si>
  <si>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</si>
  <si>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</si>
  <si>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</si>
  <si>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</si>
  <si>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</si>
  <si>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</si>
  <si>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</si>
  <si>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</si>
  <si>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</si>
  <si>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</si>
  <si>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</si>
  <si>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</si>
  <si>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</si>
  <si>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</si>
  <si>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</si>
  <si>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</si>
  <si>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</si>
  <si>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</si>
  <si>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</si>
  <si>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</si>
  <si>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</si>
  <si>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</si>
  <si>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</si>
  <si>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</si>
  <si>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</si>
  <si>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</si>
  <si>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</si>
  <si>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</si>
  <si>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</si>
  <si>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</si>
  <si>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</si>
  <si>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</si>
  <si>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</si>
  <si>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</si>
  <si>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</si>
  <si>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</si>
  <si>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</si>
  <si>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</si>
  <si>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</si>
  <si>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</si>
  <si>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</si>
  <si>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</si>
  <si>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</si>
  <si>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</si>
  <si>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</si>
  <si>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</si>
  <si>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</si>
  <si>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</si>
  <si>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</si>
  <si>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</si>
  <si>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</si>
  <si>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</si>
  <si>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</si>
  <si>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</si>
  <si>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</si>
  <si>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</si>
  <si>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</si>
  <si>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</si>
  <si>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</si>
  <si>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</si>
  <si>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</si>
  <si>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</si>
  <si>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</si>
  <si>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</si>
  <si>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</si>
  <si>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</si>
  <si>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</si>
  <si>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</si>
  <si>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</si>
  <si>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</si>
  <si>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</si>
  <si>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</si>
  <si>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</si>
  <si>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</si>
  <si>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</si>
  <si>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</si>
  <si>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</si>
  <si>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</si>
  <si>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</si>
  <si>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</si>
  <si>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</si>
  <si>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</si>
  <si>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</si>
  <si>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</si>
  <si>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</si>
  <si>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</si>
  <si>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</si>
  <si>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</si>
  <si>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</si>
  <si>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</si>
  <si>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</si>
  <si>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</si>
  <si>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</si>
  <si>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</si>
  <si>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</si>
  <si>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</si>
  <si>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</si>
  <si>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</si>
  <si>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</si>
  <si>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</si>
  <si>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</si>
  <si>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</si>
  <si>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</si>
  <si>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</si>
  <si>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</si>
  <si>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</si>
  <si>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</si>
  <si>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</si>
  <si>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</si>
  <si>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</si>
  <si>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</si>
  <si>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</si>
  <si>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</si>
  <si>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</si>
  <si>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</si>
  <si>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</si>
  <si>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</si>
  <si>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</si>
  <si>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</si>
  <si>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</si>
  <si>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</si>
  <si>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</si>
  <si>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</si>
  <si>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</si>
  <si>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</si>
  <si>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</si>
  <si>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</si>
  <si>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</si>
  <si>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</si>
  <si>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</si>
  <si>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</si>
  <si>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</si>
  <si>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</si>
  <si>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</si>
  <si>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</si>
  <si>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</si>
  <si>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</si>
  <si>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</si>
  <si>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</si>
  <si>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</si>
  <si>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</si>
  <si>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</si>
  <si>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</si>
  <si>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</si>
  <si>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</si>
  <si>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</si>
  <si>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</si>
  <si>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</si>
  <si>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</si>
  <si>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</si>
  <si>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</si>
  <si>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</si>
  <si>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</si>
  <si>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</si>
  <si>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</si>
  <si>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</si>
  <si>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</si>
  <si>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</si>
  <si>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</si>
  <si>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</si>
  <si>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</si>
  <si>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</si>
  <si>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</si>
  <si>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</si>
  <si>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</si>
  <si>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</si>
  <si>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</si>
  <si>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</si>
  <si>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</si>
  <si>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</si>
  <si>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</si>
  <si>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</si>
  <si>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</si>
  <si>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</si>
  <si>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</si>
  <si>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</si>
  <si>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</si>
  <si>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</si>
  <si>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</si>
  <si>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</si>
  <si>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</si>
  <si>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</si>
  <si>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</si>
  <si>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</si>
  <si>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</si>
  <si>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</si>
  <si>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</si>
  <si>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</si>
  <si>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</si>
  <si>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</si>
  <si>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</si>
  <si>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</si>
  <si>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</si>
  <si>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</si>
  <si>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</si>
  <si>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</si>
  <si>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</si>
  <si>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</si>
  <si>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</si>
  <si>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</si>
  <si>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</si>
  <si>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</si>
  <si>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</si>
  <si>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</si>
  <si>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</si>
  <si>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</si>
  <si>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</si>
  <si>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</si>
  <si>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</si>
  <si>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</si>
  <si>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</si>
  <si>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</si>
  <si>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</si>
  <si>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</si>
  <si>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</si>
  <si>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</si>
  <si>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</si>
  <si>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</si>
  <si>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</si>
  <si>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</si>
  <si>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</si>
  <si>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</si>
  <si>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</si>
  <si>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</si>
  <si>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</si>
  <si>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</si>
  <si>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</si>
  <si>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</si>
  <si>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</si>
  <si>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</si>
  <si>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</si>
  <si>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</si>
  <si>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</si>
  <si>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</si>
  <si>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</si>
  <si>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</si>
  <si>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</si>
  <si>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</si>
  <si>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</si>
  <si>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</si>
  <si>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</si>
  <si>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</si>
  <si>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</si>
  <si>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</si>
  <si>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</si>
  <si>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</si>
  <si>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</si>
  <si>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</si>
  <si>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</si>
  <si>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</si>
  <si>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</si>
  <si>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</si>
  <si>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</si>
  <si>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</si>
  <si>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</si>
  <si>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</si>
  <si>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</si>
  <si>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</si>
  <si>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</si>
  <si>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</si>
  <si>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</si>
  <si>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</si>
  <si>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</si>
  <si>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</si>
  <si>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</si>
  <si>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</si>
  <si>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</si>
  <si>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</si>
  <si>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</si>
  <si>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</si>
  <si>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</si>
  <si>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</si>
  <si>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</si>
  <si>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</si>
  <si>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</si>
  <si>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</si>
  <si>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</si>
  <si>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</si>
  <si>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</si>
  <si>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</si>
  <si>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</si>
  <si>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</si>
  <si>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</si>
  <si>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</si>
  <si>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</si>
  <si>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</si>
  <si>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</si>
  <si>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</si>
  <si>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</si>
  <si>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</si>
  <si>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</si>
  <si>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</si>
  <si>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</si>
  <si>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</si>
  <si>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</si>
  <si>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</si>
  <si>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</si>
  <si>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</si>
  <si>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</si>
  <si>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</si>
  <si>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</si>
  <si>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</si>
  <si>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</si>
  <si>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</si>
  <si>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</si>
  <si>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</si>
  <si>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</si>
  <si>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</si>
  <si>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</si>
  <si>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</si>
  <si>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</si>
  <si>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</si>
  <si>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</si>
  <si>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</si>
  <si>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</si>
  <si>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</si>
  <si>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</si>
  <si>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</si>
  <si>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</si>
  <si>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</si>
  <si>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</si>
  <si>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</si>
  <si>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</si>
  <si>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</si>
  <si>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</si>
  <si>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</si>
  <si>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</si>
  <si>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</si>
  <si>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</si>
  <si>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</si>
  <si>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</si>
  <si>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</si>
  <si>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</si>
  <si>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</si>
  <si>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</si>
  <si>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</si>
  <si>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</si>
  <si>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</si>
  <si>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</si>
  <si>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</si>
  <si>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</si>
  <si>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</si>
  <si>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</si>
  <si>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</si>
  <si>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</si>
  <si>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</si>
  <si>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</si>
  <si>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</si>
  <si>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</si>
  <si>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</si>
  <si>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</si>
  <si>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</si>
  <si>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</si>
  <si>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</si>
  <si>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</si>
  <si>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</si>
  <si>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</si>
  <si>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</si>
  <si>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</si>
  <si>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</si>
  <si>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</si>
  <si>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</si>
  <si>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</si>
  <si>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</si>
  <si>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</si>
  <si>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</si>
  <si>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</si>
  <si>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</si>
  <si>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</si>
  <si>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</si>
  <si>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</si>
  <si>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</si>
  <si>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</si>
  <si>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</si>
  <si>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</si>
  <si>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</si>
  <si>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</si>
  <si>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</si>
  <si>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</si>
  <si>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</si>
  <si>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</si>
  <si>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</si>
  <si>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</si>
  <si>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</si>
  <si>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</si>
  <si>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</si>
  <si>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</si>
  <si>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</si>
  <si>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</si>
  <si>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</si>
  <si>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</si>
  <si>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</si>
  <si>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</si>
  <si>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</si>
  <si>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</si>
  <si>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</si>
  <si>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</si>
  <si>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</si>
  <si>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</si>
  <si>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</si>
  <si>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</si>
  <si>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</si>
  <si>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</si>
  <si>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</si>
  <si>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</si>
  <si>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</si>
  <si>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</si>
  <si>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</si>
  <si>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</si>
  <si>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</si>
  <si>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</si>
  <si>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</si>
  <si>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</si>
  <si>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</si>
  <si>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</si>
  <si>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</si>
  <si>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</si>
  <si>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</si>
  <si>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</si>
  <si>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</si>
  <si>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</si>
  <si>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</si>
  <si>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</si>
  <si>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</si>
  <si>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</si>
  <si>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</si>
  <si>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</si>
  <si>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</si>
  <si>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</si>
  <si>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</si>
  <si>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</si>
  <si>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</si>
  <si>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</si>
  <si>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</si>
  <si>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</si>
  <si>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</si>
  <si>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</si>
  <si>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</si>
  <si>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</si>
  <si>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</si>
  <si>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</si>
  <si>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</si>
  <si>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</si>
  <si>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</si>
  <si>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</si>
  <si>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</si>
  <si>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</si>
  <si>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</si>
  <si>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</si>
  <si>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</si>
  <si>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</si>
  <si>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</si>
  <si>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</si>
  <si>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</si>
  <si>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</si>
  <si>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</si>
  <si>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</si>
  <si>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</si>
  <si>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</si>
  <si>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</si>
  <si>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</si>
  <si>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</si>
  <si>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</si>
  <si>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</si>
  <si>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</si>
  <si>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</si>
  <si>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</si>
  <si>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</si>
  <si>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</si>
  <si>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</si>
  <si>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</si>
  <si>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</si>
  <si>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</si>
  <si>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</si>
  <si>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</si>
  <si>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</si>
  <si>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</si>
  <si>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</si>
  <si>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</si>
  <si>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</si>
  <si>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</si>
  <si>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</si>
  <si>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</si>
  <si>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</si>
  <si>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</si>
  <si>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</si>
  <si>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</si>
  <si>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</si>
  <si>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</si>
  <si>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</si>
  <si>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</si>
  <si>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</si>
  <si>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</si>
  <si>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</si>
  <si>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</si>
  <si>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</si>
  <si>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</si>
  <si>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</si>
  <si>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</si>
  <si>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</si>
  <si>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</si>
  <si>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</si>
  <si>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</si>
  <si>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</si>
  <si>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</si>
  <si>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</si>
  <si>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</si>
  <si>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</si>
  <si>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</si>
  <si>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</si>
  <si>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</si>
  <si>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</si>
  <si>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</si>
  <si>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</si>
  <si>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</si>
  <si>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</si>
  <si>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</si>
  <si>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</si>
  <si>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</si>
  <si>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</si>
  <si>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</si>
  <si>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</si>
  <si>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</si>
  <si>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</si>
  <si>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</si>
  <si>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</si>
  <si>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</si>
  <si>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</si>
  <si>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</si>
  <si>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</si>
  <si>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</si>
  <si>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</si>
  <si>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</si>
  <si>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</si>
  <si>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</si>
  <si>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</si>
  <si>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</si>
  <si>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</si>
  <si>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</si>
  <si>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</si>
  <si>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</si>
  <si>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</si>
  <si>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</si>
  <si>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</si>
  <si>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</si>
  <si>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</si>
  <si>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</si>
  <si>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</si>
  <si>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</si>
  <si>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</si>
  <si>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</si>
  <si>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</si>
  <si>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</si>
  <si>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</si>
  <si>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</si>
  <si>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</si>
  <si>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</si>
  <si>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</si>
  <si>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</si>
  <si>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</si>
  <si>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</si>
  <si>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</si>
  <si>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</si>
  <si>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</si>
  <si>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</si>
  <si>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</si>
  <si>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</si>
  <si>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</si>
  <si>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</si>
  <si>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</si>
  <si>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</si>
  <si>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</si>
  <si>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</si>
  <si>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</si>
  <si>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</si>
  <si>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</si>
  <si>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</si>
  <si>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</si>
  <si>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</si>
  <si>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</si>
  <si>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</si>
  <si>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</si>
  <si>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</si>
  <si>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</si>
  <si>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</si>
  <si>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</si>
  <si>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</si>
  <si>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</si>
  <si>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</si>
  <si>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</si>
  <si>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</si>
  <si>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</si>
  <si>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</si>
  <si>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</si>
  <si>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</si>
  <si>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</si>
  <si>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</si>
  <si>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</si>
  <si>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</si>
  <si>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</si>
  <si>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</si>
  <si>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</si>
  <si>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</si>
  <si>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</si>
  <si>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</si>
  <si>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</si>
  <si>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</si>
  <si>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</si>
  <si>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</si>
  <si>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</si>
  <si>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</si>
  <si>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</si>
  <si>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</si>
  <si>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</si>
  <si>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</si>
  <si>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</si>
  <si>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</si>
  <si>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</si>
  <si>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</si>
  <si>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</si>
  <si>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</si>
  <si>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</si>
  <si>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</si>
  <si>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</si>
  <si>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</si>
  <si>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</si>
  <si>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</si>
  <si>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</si>
  <si>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</si>
  <si>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</si>
  <si>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</si>
  <si>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</si>
  <si>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</si>
  <si>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</si>
  <si>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</si>
  <si>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</si>
  <si>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</si>
  <si>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</si>
  <si>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</si>
  <si>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</si>
  <si>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</si>
  <si>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</si>
  <si>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</si>
  <si>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</si>
  <si>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</si>
  <si>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</si>
  <si>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</si>
  <si>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</si>
  <si>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</si>
  <si>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</si>
  <si>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</si>
  <si>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</si>
  <si>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</si>
  <si>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</si>
  <si>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</si>
  <si>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</si>
  <si>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</si>
  <si>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</si>
  <si>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</si>
  <si>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</si>
  <si>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</si>
  <si>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</si>
  <si>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</si>
  <si>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</si>
  <si>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</si>
  <si>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</si>
  <si>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</si>
  <si>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</si>
  <si>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</si>
  <si>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</si>
  <si>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</si>
  <si>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</si>
  <si>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</si>
  <si>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</si>
  <si>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</si>
  <si>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</si>
  <si>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</si>
  <si>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</si>
  <si>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</si>
  <si>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</si>
  <si>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</si>
  <si>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</si>
  <si>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</si>
  <si>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</si>
  <si>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</si>
  <si>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</si>
  <si>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</si>
  <si>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</si>
  <si>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</si>
  <si>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</si>
  <si>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</si>
  <si>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</si>
  <si>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</si>
  <si>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</si>
  <si>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</si>
  <si>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</si>
  <si>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</si>
  <si>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</si>
  <si>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</si>
  <si>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</si>
  <si>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</si>
  <si>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</si>
  <si>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</si>
  <si>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</si>
  <si>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</si>
  <si>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</si>
  <si>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</si>
  <si>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</si>
  <si>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</si>
  <si>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</si>
  <si>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</si>
  <si>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</si>
  <si>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</si>
  <si>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</si>
  <si>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</si>
  <si>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</si>
  <si>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</si>
  <si>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</si>
  <si>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</si>
  <si>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</si>
  <si>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</si>
  <si>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</si>
  <si>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</si>
  <si>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</si>
  <si>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</si>
  <si>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</si>
  <si>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</si>
  <si>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</si>
  <si>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</si>
  <si>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</si>
  <si>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</si>
  <si>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</si>
  <si>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</si>
  <si>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</si>
  <si>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</si>
  <si>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</si>
  <si>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</si>
  <si>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</si>
  <si>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</si>
  <si>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</si>
  <si>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</si>
  <si>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</si>
  <si>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</si>
  <si>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</si>
  <si>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</si>
  <si>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</si>
  <si>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</si>
  <si>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</si>
  <si>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</si>
  <si>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</si>
  <si>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</si>
  <si>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</si>
  <si>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</si>
  <si>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</si>
  <si>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</si>
  <si>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</si>
  <si>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</si>
  <si>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</si>
  <si>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</si>
  <si>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</si>
  <si>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</si>
  <si>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</si>
  <si>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</si>
  <si>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</si>
  <si>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</si>
  <si>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</si>
  <si>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</si>
  <si>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</si>
  <si>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</si>
  <si>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</si>
  <si>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</si>
  <si>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</si>
  <si>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</si>
  <si>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</si>
  <si>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</si>
  <si>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</si>
  <si>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</si>
  <si>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</si>
  <si>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</si>
  <si>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</si>
  <si>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</si>
  <si>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</si>
  <si>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</si>
  <si>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</si>
  <si>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</si>
  <si>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</si>
  <si>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</si>
  <si>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</si>
  <si>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</si>
  <si>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</si>
  <si>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</si>
  <si>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</si>
  <si>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</si>
  <si>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</si>
  <si>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</si>
  <si>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</si>
  <si>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</si>
  <si>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</si>
  <si>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</si>
  <si>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</si>
  <si>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</si>
  <si>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</si>
  <si>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</si>
  <si>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</si>
  <si>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</si>
  <si>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</si>
  <si>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</si>
  <si>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</si>
  <si>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</si>
  <si>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</si>
  <si>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</si>
  <si>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</si>
  <si>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</si>
  <si>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</si>
  <si>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</si>
  <si>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</si>
  <si>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</si>
  <si>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</si>
  <si>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</si>
  <si>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</si>
  <si>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</si>
  <si>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</si>
  <si>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</si>
  <si>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</si>
  <si>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</si>
  <si>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</si>
  <si>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</si>
  <si>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</si>
  <si>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</si>
  <si>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</si>
  <si>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</si>
  <si>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</si>
  <si>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</si>
  <si>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</si>
  <si>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</si>
  <si>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</si>
  <si>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</si>
  <si>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</si>
  <si>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</si>
  <si>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</si>
  <si>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</si>
  <si>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</si>
  <si>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</si>
  <si>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</si>
  <si>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</si>
  <si>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</si>
  <si>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</si>
  <si>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</si>
  <si>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</si>
  <si>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</si>
  <si>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</si>
  <si>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</si>
  <si>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</si>
  <si>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</si>
  <si>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</si>
  <si>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</si>
  <si>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</si>
  <si>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</si>
  <si>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</si>
  <si>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</si>
  <si>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</si>
  <si>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</si>
  <si>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</si>
  <si>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</si>
  <si>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</si>
  <si>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</si>
  <si>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</si>
  <si>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</si>
  <si>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</si>
  <si>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</si>
  <si>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</si>
  <si>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</si>
  <si>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</si>
  <si>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</si>
  <si>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</si>
  <si>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</si>
  <si>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</si>
  <si>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</si>
  <si>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</si>
  <si>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</si>
  <si>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</si>
  <si>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</si>
  <si>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</si>
  <si>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</si>
  <si>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</si>
  <si>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</si>
  <si>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</si>
  <si>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</si>
  <si>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</si>
  <si>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</si>
  <si>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</si>
  <si>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</si>
  <si>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</si>
  <si>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</si>
  <si>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</si>
  <si>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</si>
  <si>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</si>
  <si>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</si>
  <si>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</si>
  <si>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</si>
  <si>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</si>
  <si>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</si>
  <si>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</si>
  <si>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</si>
  <si>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</si>
  <si>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</si>
  <si>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</si>
  <si>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</si>
  <si>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</si>
  <si>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</si>
  <si>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</si>
  <si>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</si>
  <si>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</si>
  <si>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</si>
  <si>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</si>
  <si>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</si>
  <si>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</si>
  <si>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</si>
  <si>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</si>
  <si>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</si>
  <si>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</si>
  <si>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</si>
  <si>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</si>
  <si>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</si>
  <si>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</si>
  <si>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</si>
  <si>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</si>
  <si>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</si>
  <si>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</si>
  <si>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</si>
  <si>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</si>
  <si>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</si>
  <si>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</si>
  <si>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</si>
  <si>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</si>
  <si>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</si>
  <si>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</si>
  <si>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</si>
  <si>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</si>
  <si>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</si>
  <si>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</si>
  <si>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</si>
  <si>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</si>
  <si>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</si>
  <si>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</si>
  <si>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</si>
  <si>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</si>
  <si>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</si>
  <si>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</si>
  <si>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</si>
  <si>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</si>
  <si>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</si>
  <si>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</si>
  <si>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</si>
  <si>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</si>
  <si>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</si>
  <si>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</si>
  <si>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</si>
  <si>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</si>
  <si>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</si>
  <si>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</si>
  <si>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</si>
  <si>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</si>
  <si>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</si>
  <si>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</si>
  <si>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</si>
  <si>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</si>
  <si>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</si>
  <si>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</si>
  <si>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</si>
  <si>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</si>
  <si>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</si>
  <si>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</si>
  <si>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</si>
  <si>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</si>
  <si>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</si>
  <si>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</si>
  <si>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</si>
  <si>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</si>
  <si>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</si>
  <si>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</si>
  <si>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</si>
  <si>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</si>
  <si>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</si>
  <si>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</si>
  <si>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</si>
  <si>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</si>
  <si>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</si>
  <si>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</si>
  <si>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</si>
  <si>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</si>
  <si>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</si>
  <si>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</si>
  <si>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</si>
  <si>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</si>
  <si>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</si>
  <si>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</si>
  <si>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</si>
  <si>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</si>
  <si>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</si>
  <si>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</si>
  <si>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</si>
  <si>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</si>
  <si>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</si>
  <si>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</si>
  <si>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</si>
  <si>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</si>
  <si>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</si>
  <si>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</si>
  <si>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</si>
  <si>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</si>
  <si>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</si>
  <si>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</si>
  <si>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</si>
  <si>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</si>
  <si>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</si>
  <si>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</si>
  <si>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</si>
  <si>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</si>
  <si>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</si>
  <si>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</si>
  <si>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</si>
  <si>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</si>
  <si>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</si>
  <si>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</si>
  <si>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</si>
  <si>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</si>
  <si>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</si>
  <si>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</si>
  <si>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</si>
  <si>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</si>
  <si>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</si>
  <si>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</si>
  <si>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</si>
  <si>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</si>
  <si>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</si>
  <si>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</si>
  <si>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</si>
  <si>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</si>
  <si>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</si>
  <si>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</si>
  <si>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</si>
  <si>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</si>
  <si>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</si>
  <si>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</si>
  <si>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</si>
  <si>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</si>
  <si>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</si>
  <si>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</si>
  <si>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</si>
  <si>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</si>
  <si>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</si>
  <si>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</si>
  <si>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</si>
  <si>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</si>
  <si>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</si>
  <si>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</si>
  <si>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</si>
  <si>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</si>
  <si>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</si>
  <si>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</si>
  <si>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</si>
  <si>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</si>
  <si>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</si>
  <si>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</si>
  <si>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</si>
  <si>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</si>
  <si>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</si>
  <si>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</si>
  <si>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</si>
  <si>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</si>
  <si>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</si>
  <si>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</si>
  <si>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</si>
  <si>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</si>
  <si>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</si>
  <si>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</si>
  <si>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</si>
  <si>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</si>
  <si>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</si>
  <si>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</si>
  <si>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</si>
  <si>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</si>
  <si>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</si>
  <si>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</si>
  <si>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</si>
  <si>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</si>
  <si>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</si>
  <si>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</si>
  <si>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</si>
  <si>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</si>
  <si>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</si>
  <si>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</si>
  <si>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</si>
  <si>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</si>
  <si>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</si>
  <si>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</si>
  <si>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</si>
  <si>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</si>
  <si>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</si>
  <si>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</si>
  <si>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</si>
  <si>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</si>
  <si>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</si>
  <si>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</si>
  <si>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</si>
  <si>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</si>
  <si>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</si>
  <si>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</si>
  <si>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</si>
  <si>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</si>
  <si>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</si>
  <si>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</si>
  <si>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</si>
  <si>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</si>
  <si>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</si>
  <si>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</si>
  <si>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</si>
  <si>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</si>
  <si>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</si>
  <si>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</si>
  <si>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</si>
  <si>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</si>
  <si>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</si>
  <si>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</si>
  <si>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</si>
  <si>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</si>
  <si>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</si>
  <si>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</si>
  <si>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</si>
  <si>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</si>
  <si>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</si>
  <si>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</si>
  <si>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</si>
  <si>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</si>
  <si>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</si>
  <si>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</si>
  <si>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</si>
  <si>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</si>
  <si>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</si>
  <si>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</si>
  <si>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</si>
  <si>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</si>
  <si>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</si>
  <si>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</si>
  <si>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</si>
  <si>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</si>
  <si>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</si>
  <si>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</si>
  <si>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</si>
  <si>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</si>
  <si>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</si>
  <si>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</si>
  <si>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</si>
  <si>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</si>
  <si>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</si>
  <si>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</si>
  <si>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</si>
  <si>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</si>
  <si>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</si>
  <si>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</si>
  <si>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</si>
  <si>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</si>
  <si>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</si>
  <si>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</si>
  <si>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</si>
  <si>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</si>
  <si>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</si>
  <si>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</si>
  <si>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</si>
  <si>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</si>
  <si>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</si>
  <si>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</si>
  <si>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</si>
  <si>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</si>
  <si>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</si>
  <si>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</si>
  <si>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</si>
  <si>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</si>
  <si>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</si>
  <si>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</si>
  <si>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</si>
  <si>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</si>
  <si>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</si>
  <si>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</si>
  <si>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</si>
  <si>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</si>
  <si>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</si>
  <si>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</si>
  <si>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</si>
  <si>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</si>
  <si>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</si>
  <si>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</si>
  <si>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</si>
  <si>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</si>
  <si>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</si>
  <si>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</si>
  <si>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</si>
  <si>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</si>
  <si>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</si>
  <si>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</si>
  <si>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</si>
  <si>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</si>
  <si>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</si>
  <si>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</si>
  <si>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</si>
  <si>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</si>
  <si>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</si>
  <si>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</si>
  <si>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</si>
  <si>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</si>
  <si>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</si>
  <si>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</si>
  <si>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</si>
  <si>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</si>
  <si>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</si>
  <si>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</si>
  <si>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</si>
  <si>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</si>
  <si>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</si>
  <si>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</si>
  <si>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</si>
  <si>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</si>
  <si>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</si>
  <si>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</si>
  <si>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</si>
  <si>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</si>
  <si>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</si>
  <si>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</si>
  <si>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</si>
  <si>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</si>
  <si>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</si>
  <si>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</si>
  <si>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</si>
  <si>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</si>
  <si>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</si>
  <si>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</si>
  <si>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</si>
  <si>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</si>
  <si>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</si>
  <si>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</si>
  <si>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</si>
  <si>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</si>
  <si>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</si>
  <si>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</si>
  <si>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</si>
  <si>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</si>
  <si>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</si>
  <si>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</si>
  <si>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</si>
  <si>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</si>
  <si>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</si>
  <si>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</si>
  <si>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</si>
  <si>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</si>
  <si>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</si>
  <si>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</si>
  <si>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</si>
  <si>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</si>
  <si>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</si>
  <si>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</si>
  <si>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</si>
  <si>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</si>
  <si>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</si>
  <si>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</si>
  <si>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</si>
  <si>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</si>
  <si>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</si>
  <si>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</si>
  <si>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</si>
  <si>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</si>
  <si>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</si>
  <si>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</si>
  <si>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</si>
  <si>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</si>
  <si>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</si>
  <si>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</si>
  <si>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</si>
  <si>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</si>
  <si>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</si>
  <si>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</si>
  <si>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</si>
  <si>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</si>
  <si>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</si>
  <si>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</si>
  <si>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</si>
  <si>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</si>
  <si>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</si>
  <si>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</si>
  <si>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</si>
  <si>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</si>
  <si>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</si>
  <si>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</si>
  <si>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</si>
  <si>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</si>
  <si>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</si>
  <si>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</si>
  <si>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</si>
  <si>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</si>
  <si>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</si>
  <si>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</si>
  <si>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</si>
  <si>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</si>
  <si>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</si>
  <si>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</si>
  <si>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</si>
  <si>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</si>
  <si>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</si>
  <si>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</si>
  <si>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</si>
  <si>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</si>
  <si>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</si>
  <si>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</si>
  <si>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</si>
  <si>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</si>
  <si>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</si>
  <si>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</si>
  <si>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</si>
  <si>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</si>
  <si>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</si>
  <si>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</si>
  <si>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</si>
  <si>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</si>
  <si>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</si>
  <si>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</si>
  <si>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</si>
  <si>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</si>
  <si>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</si>
  <si>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</si>
  <si>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</si>
  <si>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</si>
  <si>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</si>
  <si>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</si>
  <si>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</si>
  <si>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</si>
  <si>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</si>
  <si>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</si>
  <si>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</si>
  <si>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</si>
  <si>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</si>
  <si>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</si>
  <si>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</si>
  <si>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</si>
  <si>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</si>
  <si>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</si>
  <si>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</si>
  <si>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</si>
  <si>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</si>
  <si>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</si>
  <si>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</si>
  <si>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</si>
  <si>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</si>
  <si>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</si>
  <si>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</si>
  <si>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</si>
  <si>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</si>
  <si>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</si>
  <si>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</si>
  <si>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</si>
  <si>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</si>
  <si>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</si>
  <si>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</si>
  <si>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</si>
  <si>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</si>
  <si>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</si>
  <si>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</si>
  <si>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</si>
  <si>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</si>
  <si>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</si>
  <si>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</si>
  <si>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</si>
  <si>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</si>
  <si>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</si>
  <si>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</si>
  <si>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</si>
  <si>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</si>
  <si>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</si>
  <si>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</si>
  <si>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</si>
  <si>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</si>
  <si>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</si>
  <si>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</si>
  <si>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</si>
  <si>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</si>
  <si>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</si>
  <si>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</si>
  <si>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</si>
  <si>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</si>
  <si>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</si>
  <si>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</si>
  <si>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</si>
  <si>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</si>
  <si>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</si>
  <si>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</si>
  <si>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</si>
  <si>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</si>
  <si>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</si>
  <si>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</si>
  <si>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</si>
  <si>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</si>
  <si>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</si>
  <si>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</si>
  <si>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</si>
  <si>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</si>
  <si>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</si>
  <si>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</si>
  <si>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</si>
  <si>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</si>
  <si>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</si>
  <si>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</si>
  <si>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</si>
  <si>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</si>
  <si>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</si>
  <si>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</si>
  <si>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</si>
  <si>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</si>
  <si>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</si>
  <si>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</si>
  <si>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</si>
  <si>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</si>
  <si>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</si>
  <si>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</si>
  <si>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</si>
  <si>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</si>
  <si>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</si>
  <si>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</si>
  <si>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</si>
  <si>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</si>
  <si>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</si>
  <si>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</si>
  <si>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</si>
  <si>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</si>
  <si>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</si>
  <si>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</si>
  <si>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</si>
  <si>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</si>
  <si>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</si>
  <si>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</si>
  <si>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</si>
  <si>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</si>
  <si>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</si>
  <si>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</si>
  <si>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</si>
  <si>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</si>
  <si>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</si>
  <si>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</si>
  <si>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</si>
  <si>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</si>
  <si>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</si>
  <si>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</si>
  <si>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</si>
  <si>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</si>
  <si>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</si>
  <si>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</si>
  <si>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</si>
  <si>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</si>
  <si>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</si>
  <si>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</si>
  <si>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</si>
  <si>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</si>
  <si>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</si>
  <si>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</si>
  <si>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</si>
  <si>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</si>
  <si>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</si>
  <si>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</si>
  <si>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</si>
  <si>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</si>
  <si>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</si>
  <si>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</si>
  <si>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</si>
  <si>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</si>
  <si>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</si>
  <si>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</si>
  <si>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</si>
  <si>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</si>
  <si>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</si>
  <si>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</si>
  <si>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</si>
  <si>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</si>
  <si>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</si>
  <si>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</si>
  <si>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</si>
  <si>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</si>
  <si>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</si>
  <si>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</si>
  <si>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</si>
  <si>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</si>
  <si>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</si>
  <si>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</si>
  <si>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</si>
  <si>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</si>
  <si>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</si>
  <si>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</si>
  <si>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</si>
  <si>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</si>
  <si>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</si>
  <si>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</si>
  <si>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</si>
  <si>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</si>
  <si>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</si>
  <si>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</si>
  <si>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</si>
  <si>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</si>
  <si>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</si>
  <si>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</si>
  <si>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</si>
  <si>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</si>
  <si>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</si>
  <si>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</si>
  <si>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</si>
  <si>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</si>
  <si>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企业</t>
  </si>
  <si>
    <t>北京市</t>
  </si>
  <si>
    <t>Ⅵ-空港B</t>
  </si>
  <si>
    <t>地上</t>
  </si>
  <si>
    <t>是</t>
  </si>
  <si>
    <t>估价对象容积率</t>
  </si>
  <si>
    <t>不临65条商业街</t>
  </si>
  <si>
    <t>与级别开发程度一致</t>
  </si>
  <si>
    <t>按公示增长率计算</t>
  </si>
  <si>
    <t>住宅</t>
  </si>
  <si>
    <t>城镇住宅用地</t>
  </si>
  <si>
    <t>划拨</t>
  </si>
  <si>
    <t>有</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</si>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</sst>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4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4" fontId="48" fillId="0" borderId="1" xfId="0" applyNumberFormat="1" applyFont="1" applyFill="1" applyBorder="1" applyAlignment="1" applyProtection="1">
      <alignment horizontal="center" vertical="center" shrinkToFit="1"/>
      <protection locked="0"/>
    </xf>
    <xf numFmtId="0" fontId="51" fillId="15" borderId="36"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3" xfId="8"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4">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485029</xdr:colOff>
      <xdr:row>25</xdr:row>
      <xdr:rowOff>56607</xdr:rowOff>
    </xdr:to>
    <xdr:pic>
      <xdr:nvPicPr>
        <xdr:cNvPr id="2" name="图片 1">
          <a:extLst>
            <a:ext uri="{FF2B5EF4-FFF2-40B4-BE49-F238E27FC236}">
              <a16:creationId xmlns:a16="http://schemas.microsoft.com/office/drawing/2014/main" id="{75D3A213-3545-4FD8-8478-8C4229F04A0C}"/>
            </a:ext>
          </a:extLst>
        </xdr:cNvPr>
        <xdr:cNvPicPr>
          <a:picLocks noChangeAspect="1"/>
        </xdr:cNvPicPr>
      </xdr:nvPicPr>
      <xdr:blipFill>
        <a:blip xmlns:r="http://schemas.openxmlformats.org/officeDocument/2006/relationships" r:embed="rId1"/>
        <a:stretch>
          <a:fillRect/>
        </a:stretch>
      </xdr:blipFill>
      <xdr:spPr>
        <a:xfrm>
          <a:off x="0" y="0"/>
          <a:ext cx="5971429" cy="4342857"/>
        </a:xfrm>
        <a:prstGeom prst="rect">
          <a:avLst/>
        </a:prstGeom>
      </xdr:spPr>
    </xdr:pic>
    <xdr:clientData/>
  </xdr:twoCellAnchor>
  <xdr:twoCellAnchor editAs="oneCell">
    <xdr:from>
      <xdr:col>0</xdr:col>
      <xdr:colOff>0</xdr:colOff>
      <xdr:row>26</xdr:row>
      <xdr:rowOff>0</xdr:rowOff>
    </xdr:from>
    <xdr:to>
      <xdr:col>7</xdr:col>
      <xdr:colOff>494638</xdr:colOff>
      <xdr:row>49</xdr:row>
      <xdr:rowOff>132840</xdr:rowOff>
    </xdr:to>
    <xdr:pic>
      <xdr:nvPicPr>
        <xdr:cNvPr id="3" name="图片 2">
          <a:extLst>
            <a:ext uri="{FF2B5EF4-FFF2-40B4-BE49-F238E27FC236}">
              <a16:creationId xmlns:a16="http://schemas.microsoft.com/office/drawing/2014/main" id="{5E90FA8B-CFC0-48AA-9C4E-B4BB66B69F3D}"/>
            </a:ext>
          </a:extLst>
        </xdr:cNvPr>
        <xdr:cNvPicPr>
          <a:picLocks noChangeAspect="1"/>
        </xdr:cNvPicPr>
      </xdr:nvPicPr>
      <xdr:blipFill>
        <a:blip xmlns:r="http://schemas.openxmlformats.org/officeDocument/2006/relationships" r:embed="rId2"/>
        <a:stretch>
          <a:fillRect/>
        </a:stretch>
      </xdr:blipFill>
      <xdr:spPr>
        <a:xfrm>
          <a:off x="0" y="4457700"/>
          <a:ext cx="5295238" cy="4076190"/>
        </a:xfrm>
        <a:prstGeom prst="rect">
          <a:avLst/>
        </a:prstGeom>
      </xdr:spPr>
    </xdr:pic>
    <xdr:clientData/>
  </xdr:twoCellAnchor>
  <xdr:twoCellAnchor editAs="oneCell">
    <xdr:from>
      <xdr:col>8</xdr:col>
      <xdr:colOff>466725</xdr:colOff>
      <xdr:row>0</xdr:row>
      <xdr:rowOff>0</xdr:rowOff>
    </xdr:from>
    <xdr:to>
      <xdr:col>15</xdr:col>
      <xdr:colOff>580411</xdr:colOff>
      <xdr:row>26</xdr:row>
      <xdr:rowOff>37538</xdr:rowOff>
    </xdr:to>
    <xdr:pic>
      <xdr:nvPicPr>
        <xdr:cNvPr id="4" name="图片 3">
          <a:extLst>
            <a:ext uri="{FF2B5EF4-FFF2-40B4-BE49-F238E27FC236}">
              <a16:creationId xmlns:a16="http://schemas.microsoft.com/office/drawing/2014/main" id="{3266EA89-605C-44F8-A13B-E3DDAB01BB80}"/>
            </a:ext>
          </a:extLst>
        </xdr:cNvPr>
        <xdr:cNvPicPr>
          <a:picLocks noChangeAspect="1"/>
        </xdr:cNvPicPr>
      </xdr:nvPicPr>
      <xdr:blipFill>
        <a:blip xmlns:r="http://schemas.openxmlformats.org/officeDocument/2006/relationships" r:embed="rId3"/>
        <a:stretch>
          <a:fillRect/>
        </a:stretch>
      </xdr:blipFill>
      <xdr:spPr>
        <a:xfrm>
          <a:off x="5953125" y="0"/>
          <a:ext cx="4914286"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22&#34903;&#213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规划条件"/>
      <sheetName val="Sheet2"/>
      <sheetName val="Sheet1"/>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C14">
            <v>84118.51</v>
          </cell>
        </row>
        <row r="15">
          <cell r="F15">
            <v>153.97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str">
        <f>'预评函-1'!A7</f>
        <v>估价对象为北京市房地产，为所有。根据《国有土地使用证》[]，估价对象（分摊）出让国有建设用地使用权面积为52670.3平方米，建筑面积为84272.48平方米。</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str">
        <f>'预评函-1'!A10</f>
        <v>估价对象为北京市房地产,属开发建设的，该项目尚在开发建设中。根据《国有土地使用证》[]，估价对象（分摊）出让国有建设用地使用权面积为52670.3平方米，规划建筑面积为84272.48平方米。</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2022年9月22日</v>
      </c>
    </row>
    <row r="13" spans="1:2" s="2762" customFormat="1">
      <c r="A13" s="2760" t="s">
        <v>742</v>
      </c>
      <c r="B13" s="2761" t="str">
        <f>'预评函-1'!A18</f>
        <v>本次估价的“房地产价值”是指在正常市场情况下，在价值时点2022年9月22日，估价对象规划用途为，土地取得方式为划拨，假定未设立法定优先受偿款下的房地产市场价值。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84272.48</v>
      </c>
    </row>
    <row r="44" spans="1:2" s="2762" customFormat="1">
      <c r="A44" s="2760" t="s">
        <v>788</v>
      </c>
      <c r="B44" s="2761" t="str">
        <f>'预评函-3'!C2</f>
        <v>(分摊)土地面积</v>
      </c>
    </row>
    <row r="45" spans="1:2" s="2762" customFormat="1">
      <c r="A45" s="2760" t="s">
        <v>760</v>
      </c>
      <c r="B45" s="2761">
        <f>'预评函-3'!C4</f>
        <v>52670.3</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6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828" t="s">
        <v>594</v>
      </c>
      <c r="C54" s="2824" t="s">
        <v>796</v>
      </c>
    </row>
    <row r="55" spans="1:4">
      <c r="A55" s="3062"/>
      <c r="B55" s="2828" t="s">
        <v>595</v>
      </c>
      <c r="C55" s="2824" t="s">
        <v>797</v>
      </c>
    </row>
    <row r="56" spans="1:4">
      <c r="A56" s="3062"/>
      <c r="B56" s="2828" t="s">
        <v>596</v>
      </c>
      <c r="C56" s="2824" t="s">
        <v>801</v>
      </c>
    </row>
    <row r="57" spans="1:4">
      <c r="A57" s="306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J33" sqref="J33"/>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70" t="str">
        <f>IF(B10="北京市","北京市",C10)&amp;F10&amp;IF(结果表!G1="在建","出让国有建设用地使用权及在建建筑物",IF(结果表!G1="土地","出让国有建设用地使用权",))&amp;B9&amp;"预评估"</f>
        <v>北京市预评估</v>
      </c>
      <c r="C1" s="3071"/>
      <c r="D1" s="3071"/>
      <c r="E1" s="3071"/>
      <c r="F1" s="3071"/>
      <c r="G1" s="3071"/>
      <c r="H1" s="3071"/>
      <c r="I1" s="3072"/>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44826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73" t="s">
        <v>2439</v>
      </c>
      <c r="E8" s="2898"/>
      <c r="F8" s="2899"/>
      <c r="G8" s="2880"/>
      <c r="H8" s="2880"/>
      <c r="I8" s="2880"/>
      <c r="J8" s="862"/>
      <c r="K8" s="2900"/>
      <c r="L8" s="2893"/>
      <c r="M8" s="2893"/>
      <c r="N8" s="862"/>
      <c r="O8" s="2893"/>
      <c r="P8" s="862"/>
      <c r="Q8" s="862"/>
      <c r="R8" s="862"/>
    </row>
    <row r="9" spans="1:28" ht="13.5" thickBot="1">
      <c r="A9" s="2901" t="s">
        <v>2440</v>
      </c>
      <c r="B9" s="2902"/>
      <c r="C9" s="2903"/>
      <c r="D9" s="3074"/>
      <c r="E9" s="2902"/>
      <c r="F9" s="2904"/>
      <c r="G9" s="2905"/>
      <c r="H9" s="2905"/>
      <c r="I9" s="2905"/>
      <c r="J9" s="862"/>
      <c r="K9" s="2892"/>
      <c r="L9" s="2893"/>
      <c r="M9" s="2893"/>
      <c r="N9" s="862"/>
      <c r="O9" s="2893"/>
      <c r="P9" s="862"/>
      <c r="Q9" s="862"/>
      <c r="R9" s="862"/>
    </row>
    <row r="10" spans="1:28" ht="13.5" thickTop="1">
      <c r="A10" s="2906" t="s">
        <v>2441</v>
      </c>
      <c r="B10" s="2907" t="s">
        <v>3096</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3095</v>
      </c>
      <c r="C11" s="2915"/>
      <c r="D11" s="2916"/>
      <c r="E11" s="2871"/>
      <c r="F11" s="2871"/>
      <c r="G11" s="2871"/>
      <c r="H11" s="2871"/>
      <c r="I11" s="2871"/>
      <c r="J11" s="862"/>
      <c r="K11" s="2892"/>
      <c r="L11" s="2893"/>
      <c r="M11" s="2893"/>
      <c r="N11" s="862"/>
      <c r="O11" s="2893"/>
      <c r="P11" s="862"/>
      <c r="Q11" s="862"/>
      <c r="R11" s="862"/>
    </row>
    <row r="12" spans="1:28">
      <c r="A12" s="2917" t="s">
        <v>2444</v>
      </c>
      <c r="B12" s="2914" t="s">
        <v>3106</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3010">
        <v>65694</v>
      </c>
      <c r="E13" s="3010">
        <v>54737</v>
      </c>
      <c r="F13" s="2920"/>
      <c r="G13" s="2920"/>
      <c r="H13" s="2920"/>
      <c r="I13" s="3010">
        <v>58389</v>
      </c>
      <c r="J13" s="862"/>
      <c r="K13" s="2892"/>
      <c r="L13" s="2893"/>
      <c r="M13" s="2893"/>
      <c r="N13" s="862"/>
      <c r="O13" s="2893"/>
      <c r="P13" s="862"/>
      <c r="Q13" s="862"/>
      <c r="R13" s="862"/>
    </row>
    <row r="14" spans="1:28">
      <c r="A14" s="1360"/>
      <c r="B14" s="2918"/>
      <c r="C14" s="2919" t="s">
        <v>2453</v>
      </c>
      <c r="D14" s="2921">
        <v>70</v>
      </c>
      <c r="E14" s="2921">
        <v>40</v>
      </c>
      <c r="F14" s="2921"/>
      <c r="G14" s="2921"/>
      <c r="H14" s="2921"/>
      <c r="I14" s="2921">
        <v>50</v>
      </c>
      <c r="J14" s="862"/>
      <c r="K14" s="2892"/>
      <c r="L14" s="2893"/>
      <c r="M14" s="2893"/>
      <c r="N14" s="862"/>
      <c r="O14" s="2893"/>
      <c r="P14" s="862"/>
      <c r="Q14" s="862"/>
      <c r="R14" s="862"/>
    </row>
    <row r="15" spans="1:28">
      <c r="A15" s="978"/>
      <c r="B15" s="2922"/>
      <c r="C15" s="2923" t="s">
        <v>2454</v>
      </c>
      <c r="D15" s="459">
        <f>IF(B12="出让",IF(D13="","",ROUNDDOWN(MIN((D13-$D$3)/365,D14),2)),D14)</f>
        <v>70</v>
      </c>
      <c r="E15" s="459">
        <f>IF(B12="出让",IF(E13="","",ROUNDDOWN(MIN((E13-$D$3)/365,E14),2)),E14)</f>
        <v>40</v>
      </c>
      <c r="F15" s="459">
        <f>IF(B12="出让",IF(F13="","",ROUNDDOWN(MIN((F13-$D$3)/365,F14),2)),F14)</f>
        <v>0</v>
      </c>
      <c r="G15" s="459">
        <f>IF(B12="出让",IF(G13="","",ROUNDDOWN(MIN((G13-$D$3)/365,G14),2)),G14)</f>
        <v>0</v>
      </c>
      <c r="H15" s="459">
        <f>IF(B12="出让",IF(H13="","",ROUNDDOWN(MIN((H13-$D$3)/365,H14),2)),H14)</f>
        <v>0</v>
      </c>
      <c r="I15" s="459">
        <f>IF(B12="出让",IF(I13="","",ROUNDDOWN(MIN((I13-$D$3)/365,I14),2)),I14)</f>
        <v>50</v>
      </c>
      <c r="J15" s="862"/>
      <c r="K15" s="2892"/>
      <c r="L15" s="2893"/>
      <c r="M15" s="2893"/>
      <c r="N15" s="862"/>
      <c r="O15" s="2893"/>
      <c r="P15" s="862"/>
      <c r="Q15" s="862"/>
      <c r="R15" s="862"/>
    </row>
    <row r="16" spans="1:28">
      <c r="A16" s="991" t="s">
        <v>2455</v>
      </c>
      <c r="B16" s="3080"/>
      <c r="C16" s="3081"/>
      <c r="D16" s="3082"/>
      <c r="E16" s="989" t="s">
        <v>2456</v>
      </c>
      <c r="F16" s="3083"/>
      <c r="G16" s="3084"/>
      <c r="H16" s="3084"/>
      <c r="I16" s="3085"/>
      <c r="J16" s="862"/>
      <c r="K16" s="2892"/>
      <c r="L16" s="2893"/>
      <c r="M16" s="2893"/>
      <c r="N16" s="862"/>
      <c r="O16" s="2893"/>
      <c r="P16" s="862"/>
      <c r="Q16" s="862"/>
      <c r="R16" s="862"/>
    </row>
    <row r="17" spans="1:28">
      <c r="A17" s="1337" t="s">
        <v>2457</v>
      </c>
      <c r="B17" s="879" t="s">
        <v>2458</v>
      </c>
      <c r="C17" s="459">
        <f>'数据-汇总表'!E3</f>
        <v>84272.48</v>
      </c>
      <c r="D17" s="2846" t="s">
        <v>2459</v>
      </c>
      <c r="E17" s="3086" t="s">
        <v>2460</v>
      </c>
      <c r="F17" s="3087"/>
      <c r="G17" s="3087"/>
      <c r="H17" s="3087"/>
      <c r="I17" s="3088"/>
      <c r="J17" s="862"/>
      <c r="K17" s="2900"/>
      <c r="L17" s="2893"/>
      <c r="M17" s="2893"/>
      <c r="N17" s="862"/>
      <c r="O17" s="2893"/>
      <c r="P17" s="862"/>
      <c r="Q17" s="862"/>
      <c r="R17" s="862"/>
      <c r="S17" s="862"/>
      <c r="T17" s="862"/>
      <c r="U17" s="862"/>
      <c r="V17" s="862"/>
    </row>
    <row r="18" spans="1:28" ht="24.75" thickBot="1">
      <c r="A18" s="2924" t="s">
        <v>2461</v>
      </c>
      <c r="B18" s="1353" t="s">
        <v>2462</v>
      </c>
      <c r="C18" s="2925">
        <f>'数据-汇总表'!D3</f>
        <v>52670.3</v>
      </c>
      <c r="D18" s="1386" t="s">
        <v>2463</v>
      </c>
      <c r="E18" s="3089" t="s">
        <v>2464</v>
      </c>
      <c r="F18" s="3090"/>
      <c r="G18" s="3090"/>
      <c r="H18" s="3090"/>
      <c r="I18" s="3091"/>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76" t="s">
        <v>2468</v>
      </c>
      <c r="C20" s="3077"/>
      <c r="D20" s="3078" t="s">
        <v>2469</v>
      </c>
      <c r="E20" s="3079"/>
      <c r="F20" s="2932" t="s">
        <v>1280</v>
      </c>
      <c r="G20" s="2887"/>
      <c r="H20" s="2887"/>
      <c r="I20" s="2887"/>
      <c r="J20" s="862"/>
      <c r="K20" s="3075"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75"/>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75"/>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6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6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6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65"/>
      <c r="B30" s="879" t="s">
        <v>2480</v>
      </c>
      <c r="C30" s="3066"/>
      <c r="D30" s="3067"/>
      <c r="E30" s="2887"/>
      <c r="F30" s="2887"/>
      <c r="G30" s="2887"/>
      <c r="H30" s="2887"/>
      <c r="I30" s="2887"/>
      <c r="J30" s="862"/>
      <c r="K30" s="2892"/>
      <c r="L30" s="2893"/>
      <c r="M30" s="2893"/>
      <c r="N30" s="862"/>
      <c r="O30" s="2893"/>
      <c r="P30" s="862"/>
      <c r="Q30" s="862"/>
      <c r="R30" s="862"/>
      <c r="S30" s="862"/>
      <c r="T30" s="862"/>
      <c r="U30" s="862"/>
      <c r="V30" s="862"/>
    </row>
    <row r="31" spans="1:28">
      <c r="A31" s="306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63" t="s">
        <v>2490</v>
      </c>
      <c r="T34" s="460" t="str">
        <f>NUMBERSTRING(7-K34,1)&amp;"通"</f>
        <v>七通</v>
      </c>
      <c r="U34" s="862"/>
      <c r="V34" s="862"/>
    </row>
    <row r="35" spans="1:30">
      <c r="A35" s="2958"/>
      <c r="B35" s="3063" t="s">
        <v>2491</v>
      </c>
      <c r="C35" s="3063"/>
      <c r="D35" s="3063"/>
      <c r="E35" s="306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32</v>
      </c>
      <c r="C37" s="1228"/>
      <c r="D37" s="1228" t="s">
        <v>32</v>
      </c>
      <c r="E37" s="1228" t="s">
        <v>32</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2931</v>
      </c>
      <c r="C38" s="2961"/>
      <c r="D38" s="2961" t="s">
        <v>2931</v>
      </c>
      <c r="E38" s="2961" t="s">
        <v>3097</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EDEA-4D46-4F73-8515-DBBAEF7E8942}">
  <sheetPr>
    <tabColor rgb="FFFFFF00"/>
  </sheetPr>
  <dimension ref="A1"/>
  <sheetViews>
    <sheetView workbookViewId="0">
      <selection activeCell="J29" sqref="J29"/>
    </sheetView>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v>52670.3</v>
      </c>
      <c r="B3" s="5">
        <f>IF(C3="否",G5-AT5,G5)</f>
        <v>84272.48</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84272.48</v>
      </c>
      <c r="H5" s="7">
        <f t="shared" ref="H5:AT5" si="0">SUM(H13:H656)</f>
        <v>84272.48</v>
      </c>
      <c r="I5" s="7">
        <f t="shared" si="0"/>
        <v>84272.48</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84272.48</v>
      </c>
      <c r="BA5" s="9">
        <f t="shared" si="1"/>
        <v>84272.48</v>
      </c>
      <c r="BB5" s="9">
        <f t="shared" si="1"/>
        <v>84272.48</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f>H6+AC6+AT6</f>
        <v>52670.3</v>
      </c>
      <c r="F6" s="7" t="s">
        <v>0</v>
      </c>
      <c r="G6" s="7" t="s">
        <v>1</v>
      </c>
      <c r="H6" s="11">
        <f>SUMIF(I$12:AB$12,"总值",I6:AB6)</f>
        <v>52670.3</v>
      </c>
      <c r="I6" s="7">
        <f t="shared" ref="I6:AB6" si="2">ROUND($A$3*I5/$B$3,2)</f>
        <v>52670.3</v>
      </c>
      <c r="J6" s="7">
        <f t="shared" si="2"/>
        <v>0</v>
      </c>
      <c r="K6" s="7">
        <f t="shared" si="2"/>
        <v>0</v>
      </c>
      <c r="L6" s="7">
        <f t="shared" si="2"/>
        <v>0</v>
      </c>
      <c r="M6" s="7">
        <f t="shared" si="2"/>
        <v>0</v>
      </c>
      <c r="N6" s="7">
        <f t="shared" si="2"/>
        <v>0</v>
      </c>
      <c r="O6" s="7">
        <f t="shared" si="2"/>
        <v>0</v>
      </c>
      <c r="P6" s="7">
        <f t="shared" si="2"/>
        <v>0</v>
      </c>
      <c r="Q6" s="7">
        <f t="shared" si="2"/>
        <v>0</v>
      </c>
      <c r="R6" s="7">
        <f t="shared" si="2"/>
        <v>0</v>
      </c>
      <c r="S6" s="7">
        <f t="shared" si="2"/>
        <v>0</v>
      </c>
      <c r="T6" s="7">
        <f t="shared" si="2"/>
        <v>0</v>
      </c>
      <c r="U6" s="7">
        <f t="shared" si="2"/>
        <v>0</v>
      </c>
      <c r="V6" s="7">
        <f t="shared" si="2"/>
        <v>0</v>
      </c>
      <c r="W6" s="7">
        <f t="shared" si="2"/>
        <v>0</v>
      </c>
      <c r="X6" s="7">
        <f t="shared" si="2"/>
        <v>0</v>
      </c>
      <c r="Y6" s="7">
        <f t="shared" si="2"/>
        <v>0</v>
      </c>
      <c r="Z6" s="7">
        <f t="shared" si="2"/>
        <v>0</v>
      </c>
      <c r="AA6" s="7">
        <f t="shared" si="2"/>
        <v>0</v>
      </c>
      <c r="AB6" s="7">
        <f t="shared" si="2"/>
        <v>0</v>
      </c>
      <c r="AC6" s="11">
        <f>SUMIF(AD$12:AS$12,"总值",AD6:AS6)</f>
        <v>0</v>
      </c>
      <c r="AD6" s="7">
        <f t="shared" ref="AD6:AS6" si="3">ROUND($A$3*AD5/$B$3,2)</f>
        <v>0</v>
      </c>
      <c r="AE6" s="7">
        <f t="shared" si="3"/>
        <v>0</v>
      </c>
      <c r="AF6" s="7">
        <f t="shared" si="3"/>
        <v>0</v>
      </c>
      <c r="AG6" s="7">
        <f t="shared" si="3"/>
        <v>0</v>
      </c>
      <c r="AH6" s="7">
        <f t="shared" si="3"/>
        <v>0</v>
      </c>
      <c r="AI6" s="7">
        <f t="shared" si="3"/>
        <v>0</v>
      </c>
      <c r="AJ6" s="7">
        <f t="shared" si="3"/>
        <v>0</v>
      </c>
      <c r="AK6" s="7">
        <f t="shared" si="3"/>
        <v>0</v>
      </c>
      <c r="AL6" s="7">
        <f t="shared" si="3"/>
        <v>0</v>
      </c>
      <c r="AM6" s="7">
        <f t="shared" si="3"/>
        <v>0</v>
      </c>
      <c r="AN6" s="7">
        <f t="shared" si="3"/>
        <v>0</v>
      </c>
      <c r="AO6" s="7">
        <f t="shared" si="3"/>
        <v>0</v>
      </c>
      <c r="AP6" s="7">
        <f t="shared" si="3"/>
        <v>0</v>
      </c>
      <c r="AQ6" s="7">
        <f t="shared" si="3"/>
        <v>0</v>
      </c>
      <c r="AR6" s="7">
        <f t="shared" si="3"/>
        <v>0</v>
      </c>
      <c r="AS6" s="7">
        <f t="shared" si="3"/>
        <v>0</v>
      </c>
      <c r="AT6" s="11">
        <f>IF(C3="是",ROUND($A$3*AT5/$B$3,2),0)</f>
        <v>0</v>
      </c>
      <c r="AU6" s="234"/>
      <c r="AV6" s="6" t="s">
        <v>1296</v>
      </c>
      <c r="AW6" s="232"/>
      <c r="AX6" s="232"/>
      <c r="AY6" s="12">
        <f>IF(AY3&gt;0,AY3,ROUND($A$3*AZ5/$B$3,2))</f>
        <v>52670.3</v>
      </c>
      <c r="AZ6" s="7" t="s">
        <v>2</v>
      </c>
      <c r="BA6" s="7">
        <f>ROUND($AY$6*BA5/$AZ$5,2)</f>
        <v>52670.3</v>
      </c>
      <c r="BB6" s="7">
        <f>ROUND($AY$6*BB5/$AZ$5,2)</f>
        <v>52670.3</v>
      </c>
      <c r="BC6" s="7">
        <f t="shared" ref="BC6:BH6" si="4">ROUND($AY$6*BC5/$AZ$5,2)</f>
        <v>0</v>
      </c>
      <c r="BD6" s="7">
        <f t="shared" si="4"/>
        <v>0</v>
      </c>
      <c r="BE6" s="7">
        <f t="shared" si="4"/>
        <v>0</v>
      </c>
      <c r="BF6" s="7">
        <f t="shared" si="4"/>
        <v>0</v>
      </c>
      <c r="BG6" s="7">
        <f t="shared" si="4"/>
        <v>0</v>
      </c>
      <c r="BH6" s="7">
        <f t="shared" si="4"/>
        <v>0</v>
      </c>
      <c r="BI6" s="7">
        <f t="shared" ref="BI6:BT6" si="5">ROUND($AY$6*BI5/$AZ$5,2)</f>
        <v>0</v>
      </c>
      <c r="BJ6" s="7">
        <f t="shared" si="5"/>
        <v>0</v>
      </c>
      <c r="BK6" s="7">
        <f t="shared" si="5"/>
        <v>0</v>
      </c>
      <c r="BL6" s="7">
        <f t="shared" si="5"/>
        <v>0</v>
      </c>
      <c r="BM6" s="7">
        <f t="shared" si="5"/>
        <v>0</v>
      </c>
      <c r="BN6" s="7">
        <f t="shared" si="5"/>
        <v>0</v>
      </c>
      <c r="BO6" s="7">
        <f t="shared" si="5"/>
        <v>0</v>
      </c>
      <c r="BP6" s="7">
        <f t="shared" si="5"/>
        <v>0</v>
      </c>
      <c r="BQ6" s="7">
        <f t="shared" si="5"/>
        <v>0</v>
      </c>
      <c r="BR6" s="7">
        <f t="shared" si="5"/>
        <v>0</v>
      </c>
      <c r="BS6" s="7">
        <f t="shared" si="5"/>
        <v>0</v>
      </c>
      <c r="BT6" s="13">
        <f t="shared" si="5"/>
        <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3098</v>
      </c>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3099</v>
      </c>
      <c r="E13" s="7">
        <f>IF($C$3="是",ROUND($A$3*G13/$B$3,2),ROUND($A$3*(G13-AT13)/$B$3,2))</f>
        <v>52670.3</v>
      </c>
      <c r="F13" s="23"/>
      <c r="G13" s="24">
        <f>H13+AC13+AT13</f>
        <v>84272.48</v>
      </c>
      <c r="H13" s="11">
        <f>SUMIF(I$12:AB$12,"总值",I13:AB13)</f>
        <v>84272.48</v>
      </c>
      <c r="I13" s="272">
        <f>[2]规划条件!$C$14+[2]规划条件!$F$15</f>
        <v>84272.48</v>
      </c>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f>ROUND($AY$6*AZ13/$AZ$5,2)</f>
        <v>52670.3</v>
      </c>
      <c r="AZ13" s="7">
        <f>BA13+BL13</f>
        <v>84272.48</v>
      </c>
      <c r="BA13" s="7">
        <f>SUM(BB13:BK13)</f>
        <v>84272.48</v>
      </c>
      <c r="BB13" s="7">
        <f>IF($D13="是",I13-J13,0)</f>
        <v>84272.48</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f>IF($C$3="是",ROUND($A$3*G14/$B$3,2),ROUND($A$3*(G14-AT14)/$B$3,2))</f>
        <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f>ROUND($AY$6*AZ14/$AZ$5,2)</f>
        <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f>IF($C$3="是",ROUND($A$3*G15/$B$3,2),ROUND($A$3*(G15-AT15)/$B$3,2))</f>
        <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f>ROUND($AY$6*AZ15/$AZ$5,2)</f>
        <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f>IF($C$3="是",ROUND($A$3*G16/$B$3,2),ROUND($A$3*(G16-AT16)/$B$3,2))</f>
        <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f>ROUND($AY$6*AZ16/$AZ$5,2)</f>
        <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f>IF($C$3="是",ROUND($A$3*G17/$B$3,2),ROUND($A$3*(G17-AT17)/$B$3,2))</f>
        <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f>ROUND($AY$6*AZ17/$AZ$5,2)</f>
        <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f t="shared" ref="E18:E112" si="7">IF($C$3="是",ROUND($A$3*G18/$B$3,2),ROUND($A$3*(G18-AT18)/$B$3,2))</f>
        <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f t="shared" ref="AY18:AY109" si="14">ROUND($AY$6*AZ18/$AZ$5,2)</f>
        <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f t="shared" si="7"/>
        <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f t="shared" si="14"/>
        <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f t="shared" si="7"/>
        <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f t="shared" si="14"/>
        <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f t="shared" si="7"/>
        <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f t="shared" si="14"/>
        <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f t="shared" si="7"/>
        <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f t="shared" si="14"/>
        <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f t="shared" si="7"/>
        <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f t="shared" si="14"/>
        <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f t="shared" si="7"/>
        <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f t="shared" si="14"/>
        <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f t="shared" si="7"/>
        <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f t="shared" si="14"/>
        <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f t="shared" si="7"/>
        <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f t="shared" si="14"/>
        <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f t="shared" si="7"/>
        <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f t="shared" si="14"/>
        <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f t="shared" si="7"/>
        <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f t="shared" si="14"/>
        <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f t="shared" si="7"/>
        <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f t="shared" si="14"/>
        <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f t="shared" si="7"/>
        <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f t="shared" si="14"/>
        <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f t="shared" si="7"/>
        <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f t="shared" si="14"/>
        <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f t="shared" si="7"/>
        <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f t="shared" si="14"/>
        <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f t="shared" si="7"/>
        <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f t="shared" si="14"/>
        <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f t="shared" si="7"/>
        <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f t="shared" si="14"/>
        <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f t="shared" si="7"/>
        <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f t="shared" si="14"/>
        <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f t="shared" si="7"/>
        <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f t="shared" si="14"/>
        <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f t="shared" si="7"/>
        <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f t="shared" si="14"/>
        <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f t="shared" si="7"/>
        <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f t="shared" si="14"/>
        <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f t="shared" si="7"/>
        <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f t="shared" si="14"/>
        <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f t="shared" si="7"/>
        <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f t="shared" si="14"/>
        <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f t="shared" si="7"/>
        <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f t="shared" si="14"/>
        <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f t="shared" si="7"/>
        <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f t="shared" si="14"/>
        <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f t="shared" si="7"/>
        <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f t="shared" si="14"/>
        <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f t="shared" si="7"/>
        <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f t="shared" si="14"/>
        <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f t="shared" si="7"/>
        <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f t="shared" si="14"/>
        <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f t="shared" si="7"/>
        <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f t="shared" si="14"/>
        <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f t="shared" si="7"/>
        <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f t="shared" si="14"/>
        <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f t="shared" si="7"/>
        <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f t="shared" si="14"/>
        <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f t="shared" si="7"/>
        <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f t="shared" si="14"/>
        <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f t="shared" si="7"/>
        <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f t="shared" si="14"/>
        <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f t="shared" si="7"/>
        <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f t="shared" si="14"/>
        <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f t="shared" si="7"/>
        <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f t="shared" si="14"/>
        <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f t="shared" si="7"/>
        <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f t="shared" si="14"/>
        <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f t="shared" si="7"/>
        <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f t="shared" si="14"/>
        <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f t="shared" si="7"/>
        <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f t="shared" si="14"/>
        <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f t="shared" si="7"/>
        <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f t="shared" si="14"/>
        <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f t="shared" si="7"/>
        <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f t="shared" si="14"/>
        <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f t="shared" si="7"/>
        <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f t="shared" si="14"/>
        <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f t="shared" si="7"/>
        <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f t="shared" si="14"/>
        <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f t="shared" si="7"/>
        <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f t="shared" si="14"/>
        <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f t="shared" si="7"/>
        <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f t="shared" si="14"/>
        <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f t="shared" si="7"/>
        <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f t="shared" si="14"/>
        <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f t="shared" si="7"/>
        <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f t="shared" si="14"/>
        <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f t="shared" si="7"/>
        <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f t="shared" si="14"/>
        <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f t="shared" si="7"/>
        <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f t="shared" si="14"/>
        <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f t="shared" si="7"/>
        <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f t="shared" si="14"/>
        <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f t="shared" si="7"/>
        <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f t="shared" si="14"/>
        <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f t="shared" si="7"/>
        <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f t="shared" si="14"/>
        <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f t="shared" si="7"/>
        <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f t="shared" si="14"/>
        <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f t="shared" si="7"/>
        <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f t="shared" si="14"/>
        <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f t="shared" si="7"/>
        <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f t="shared" si="14"/>
        <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f t="shared" si="7"/>
        <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f t="shared" si="14"/>
        <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f t="shared" si="7"/>
        <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f t="shared" si="14"/>
        <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f t="shared" si="7"/>
        <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f t="shared" si="14"/>
        <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f t="shared" si="7"/>
        <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f t="shared" si="14"/>
        <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f t="shared" si="7"/>
        <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f t="shared" si="14"/>
        <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f t="shared" si="7"/>
        <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f t="shared" si="14"/>
        <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f t="shared" si="7"/>
        <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f t="shared" si="14"/>
        <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f t="shared" si="7"/>
        <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f t="shared" si="14"/>
        <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f t="shared" si="7"/>
        <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f t="shared" si="14"/>
        <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f t="shared" si="7"/>
        <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f t="shared" si="14"/>
        <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f t="shared" si="7"/>
        <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f t="shared" si="14"/>
        <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f t="shared" si="7"/>
        <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f t="shared" si="14"/>
        <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f t="shared" si="7"/>
        <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f t="shared" si="14"/>
        <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f t="shared" si="7"/>
        <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f t="shared" si="14"/>
        <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f t="shared" si="7"/>
        <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f t="shared" si="14"/>
        <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f t="shared" si="7"/>
        <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f t="shared" si="14"/>
        <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f t="shared" si="7"/>
        <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f t="shared" si="14"/>
        <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f t="shared" si="7"/>
        <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f t="shared" si="14"/>
        <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f t="shared" si="7"/>
        <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f t="shared" si="14"/>
        <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f t="shared" si="7"/>
        <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f t="shared" si="14"/>
        <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f t="shared" si="7"/>
        <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f t="shared" si="14"/>
        <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f t="shared" si="7"/>
        <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f t="shared" si="14"/>
        <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f t="shared" si="7"/>
        <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f t="shared" si="14"/>
        <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f t="shared" si="7"/>
        <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f t="shared" si="14"/>
        <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f t="shared" si="7"/>
        <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f t="shared" si="14"/>
        <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f t="shared" si="7"/>
        <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f t="shared" si="14"/>
        <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f t="shared" si="7"/>
        <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f t="shared" si="14"/>
        <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f t="shared" si="7"/>
        <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f t="shared" si="14"/>
        <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f t="shared" si="7"/>
        <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f t="shared" si="14"/>
        <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f t="shared" si="7"/>
        <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f t="shared" si="14"/>
        <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f t="shared" si="7"/>
        <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f t="shared" si="14"/>
        <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f t="shared" si="7"/>
        <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f t="shared" si="14"/>
        <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f t="shared" si="7"/>
        <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f t="shared" si="14"/>
        <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f t="shared" si="7"/>
        <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f t="shared" si="14"/>
        <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f t="shared" si="7"/>
        <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f t="shared" si="14"/>
        <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f t="shared" si="7"/>
        <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f t="shared" si="14"/>
        <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f t="shared" si="7"/>
        <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f t="shared" si="14"/>
        <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f t="shared" si="7"/>
        <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f t="shared" si="14"/>
        <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f t="shared" si="7"/>
        <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f t="shared" ref="AY110:AY141" si="39">ROUND($AY$6*AZ110/$AZ$5,2)</f>
        <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f t="shared" si="7"/>
        <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f t="shared" si="39"/>
        <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f t="shared" si="7"/>
        <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f t="shared" si="39"/>
        <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f t="shared" ref="E113:E144" si="61">IF($C$3="是",ROUND($A$3*G113/$B$3,2),ROUND($A$3*(G113-AT113)/$B$3,2))</f>
        <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f t="shared" si="39"/>
        <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f t="shared" si="61"/>
        <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f t="shared" si="39"/>
        <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f t="shared" si="61"/>
        <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f t="shared" si="39"/>
        <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f t="shared" si="61"/>
        <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f t="shared" si="39"/>
        <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f t="shared" si="61"/>
        <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f t="shared" si="39"/>
        <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f t="shared" si="61"/>
        <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f t="shared" si="39"/>
        <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f t="shared" si="61"/>
        <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f t="shared" si="39"/>
        <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f t="shared" si="61"/>
        <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f t="shared" si="39"/>
        <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f t="shared" si="61"/>
        <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f t="shared" si="39"/>
        <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f t="shared" si="61"/>
        <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f t="shared" si="39"/>
        <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f t="shared" si="61"/>
        <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f t="shared" si="39"/>
        <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f t="shared" si="61"/>
        <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f t="shared" si="39"/>
        <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f t="shared" si="61"/>
        <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f t="shared" si="39"/>
        <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f t="shared" si="61"/>
        <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f t="shared" si="39"/>
        <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f t="shared" si="61"/>
        <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f t="shared" si="39"/>
        <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f t="shared" si="61"/>
        <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f t="shared" si="39"/>
        <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f t="shared" si="61"/>
        <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f t="shared" si="39"/>
        <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f t="shared" si="61"/>
        <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f t="shared" si="39"/>
        <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f t="shared" si="61"/>
        <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f t="shared" si="39"/>
        <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f t="shared" si="61"/>
        <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f t="shared" si="39"/>
        <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f t="shared" si="61"/>
        <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f t="shared" si="39"/>
        <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f t="shared" si="61"/>
        <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f t="shared" si="39"/>
        <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f t="shared" si="61"/>
        <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f t="shared" si="39"/>
        <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f t="shared" si="61"/>
        <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f t="shared" si="39"/>
        <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f t="shared" si="61"/>
        <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f t="shared" si="39"/>
        <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f t="shared" si="61"/>
        <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f t="shared" si="39"/>
        <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f t="shared" si="61"/>
        <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f t="shared" si="39"/>
        <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f t="shared" si="61"/>
        <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f t="shared" si="39"/>
        <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f t="shared" si="61"/>
        <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f t="shared" si="39"/>
        <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f t="shared" si="61"/>
        <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f t="shared" ref="AY142:AY173" si="68">ROUND($AY$6*AZ142/$AZ$5,2)</f>
        <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f t="shared" si="61"/>
        <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f t="shared" si="68"/>
        <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f t="shared" si="61"/>
        <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f t="shared" si="68"/>
        <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f t="shared" ref="E145:E176" si="90">IF($C$3="是",ROUND($A$3*G145/$B$3,2),ROUND($A$3*(G145-AT145)/$B$3,2))</f>
        <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f t="shared" si="68"/>
        <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f t="shared" si="90"/>
        <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f t="shared" si="68"/>
        <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f t="shared" si="90"/>
        <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f t="shared" si="68"/>
        <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f t="shared" si="90"/>
        <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f t="shared" si="68"/>
        <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f t="shared" si="90"/>
        <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f t="shared" si="68"/>
        <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f t="shared" si="90"/>
        <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f t="shared" si="68"/>
        <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f t="shared" si="90"/>
        <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f t="shared" si="68"/>
        <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f t="shared" si="90"/>
        <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f t="shared" si="68"/>
        <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f t="shared" si="90"/>
        <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f t="shared" si="68"/>
        <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f t="shared" si="90"/>
        <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f t="shared" si="68"/>
        <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f t="shared" si="90"/>
        <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f t="shared" si="68"/>
        <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f t="shared" si="90"/>
        <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f t="shared" si="68"/>
        <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f t="shared" si="90"/>
        <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f t="shared" si="68"/>
        <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f t="shared" si="90"/>
        <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f t="shared" si="68"/>
        <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f t="shared" si="90"/>
        <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f t="shared" si="68"/>
        <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f t="shared" si="90"/>
        <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f t="shared" si="68"/>
        <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f t="shared" si="90"/>
        <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f t="shared" si="68"/>
        <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f t="shared" si="90"/>
        <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f t="shared" si="68"/>
        <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f t="shared" si="90"/>
        <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f t="shared" si="68"/>
        <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f t="shared" si="90"/>
        <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f t="shared" si="68"/>
        <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f t="shared" si="90"/>
        <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f t="shared" si="68"/>
        <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f t="shared" si="90"/>
        <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f t="shared" si="68"/>
        <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f t="shared" si="90"/>
        <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f t="shared" si="68"/>
        <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f t="shared" si="90"/>
        <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f t="shared" si="68"/>
        <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f t="shared" si="90"/>
        <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f t="shared" si="68"/>
        <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f t="shared" si="90"/>
        <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f t="shared" si="68"/>
        <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f t="shared" si="90"/>
        <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f t="shared" si="68"/>
        <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f t="shared" si="90"/>
        <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f t="shared" si="68"/>
        <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f t="shared" si="90"/>
        <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f t="shared" si="68"/>
        <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f t="shared" si="90"/>
        <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f t="shared" ref="AY174:AY205" si="97">ROUND($AY$6*AZ174/$AZ$5,2)</f>
        <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f t="shared" si="90"/>
        <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f t="shared" si="97"/>
        <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f t="shared" si="90"/>
        <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f t="shared" si="97"/>
        <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f t="shared" ref="E177:E207" si="119">IF($C$3="是",ROUND($A$3*G177/$B$3,2),ROUND($A$3*(G177-AT177)/$B$3,2))</f>
        <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f t="shared" si="97"/>
        <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f t="shared" si="119"/>
        <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f t="shared" si="97"/>
        <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f t="shared" si="119"/>
        <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f t="shared" si="97"/>
        <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f t="shared" si="119"/>
        <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f t="shared" si="97"/>
        <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f t="shared" si="119"/>
        <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f t="shared" si="97"/>
        <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f t="shared" si="119"/>
        <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f t="shared" si="97"/>
        <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f t="shared" si="119"/>
        <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f t="shared" si="97"/>
        <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f t="shared" si="119"/>
        <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f t="shared" si="97"/>
        <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f t="shared" si="119"/>
        <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f t="shared" si="97"/>
        <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f t="shared" si="119"/>
        <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f t="shared" si="97"/>
        <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f t="shared" si="119"/>
        <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f t="shared" si="97"/>
        <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f t="shared" si="119"/>
        <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f t="shared" si="97"/>
        <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f t="shared" si="119"/>
        <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f t="shared" si="97"/>
        <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f t="shared" si="119"/>
        <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f t="shared" si="97"/>
        <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f t="shared" si="119"/>
        <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f t="shared" si="97"/>
        <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f t="shared" si="119"/>
        <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f t="shared" si="97"/>
        <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f t="shared" si="119"/>
        <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f t="shared" si="97"/>
        <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f t="shared" si="119"/>
        <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f t="shared" si="97"/>
        <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f t="shared" si="119"/>
        <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f t="shared" si="97"/>
        <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f t="shared" si="119"/>
        <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f t="shared" si="97"/>
        <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f t="shared" si="119"/>
        <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f t="shared" si="97"/>
        <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f t="shared" si="119"/>
        <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f t="shared" si="97"/>
        <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f t="shared" si="119"/>
        <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f t="shared" si="97"/>
        <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f t="shared" si="119"/>
        <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f t="shared" si="97"/>
        <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f t="shared" si="119"/>
        <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f t="shared" si="97"/>
        <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f t="shared" si="119"/>
        <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f t="shared" si="97"/>
        <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f t="shared" si="119"/>
        <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f t="shared" si="97"/>
        <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f t="shared" si="119"/>
        <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f t="shared" si="97"/>
        <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f t="shared" si="119"/>
        <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f t="shared" si="97"/>
        <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f t="shared" si="119"/>
        <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f>ROUND($AY$6*AZ206/$AZ$5,2)</f>
        <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f t="shared" si="119"/>
        <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f>ROUND($AY$6*AZ207/$AZ$5,2)</f>
        <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f t="shared" ref="E208:E302" si="123">IF($C$3="是",ROUND($A$3*G208/$B$3,2),ROUND($A$3*(G208-AT208)/$B$3,2))</f>
        <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f t="shared" ref="AY208:AY299" si="130">ROUND($AY$6*AZ208/$AZ$5,2)</f>
        <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f t="shared" si="123"/>
        <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f t="shared" si="130"/>
        <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f t="shared" si="123"/>
        <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f t="shared" si="130"/>
        <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f t="shared" si="123"/>
        <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f t="shared" si="130"/>
        <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f t="shared" si="123"/>
        <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f t="shared" si="130"/>
        <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f t="shared" si="123"/>
        <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f t="shared" si="130"/>
        <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f t="shared" si="123"/>
        <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f t="shared" si="130"/>
        <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f t="shared" si="123"/>
        <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f t="shared" si="130"/>
        <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f t="shared" si="123"/>
        <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f t="shared" si="130"/>
        <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f t="shared" si="123"/>
        <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f t="shared" si="130"/>
        <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f t="shared" si="123"/>
        <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f t="shared" si="130"/>
        <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f t="shared" si="123"/>
        <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f t="shared" si="130"/>
        <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f t="shared" si="123"/>
        <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f t="shared" si="130"/>
        <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f t="shared" si="123"/>
        <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f t="shared" si="130"/>
        <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f t="shared" si="123"/>
        <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f t="shared" si="130"/>
        <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f t="shared" si="123"/>
        <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f t="shared" si="130"/>
        <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f t="shared" si="123"/>
        <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f t="shared" si="130"/>
        <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f t="shared" si="123"/>
        <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f t="shared" si="130"/>
        <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f t="shared" si="123"/>
        <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f t="shared" si="130"/>
        <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f t="shared" si="123"/>
        <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f t="shared" si="130"/>
        <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f t="shared" si="123"/>
        <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f t="shared" si="130"/>
        <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f t="shared" si="123"/>
        <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f t="shared" si="130"/>
        <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f t="shared" si="123"/>
        <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f t="shared" si="130"/>
        <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f t="shared" si="123"/>
        <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f t="shared" si="130"/>
        <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f t="shared" si="123"/>
        <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f t="shared" si="130"/>
        <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f t="shared" si="123"/>
        <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f t="shared" si="130"/>
        <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f t="shared" si="123"/>
        <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f t="shared" si="130"/>
        <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f t="shared" si="123"/>
        <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f t="shared" si="130"/>
        <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f t="shared" si="123"/>
        <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f t="shared" si="130"/>
        <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f t="shared" si="123"/>
        <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f t="shared" si="130"/>
        <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f t="shared" si="123"/>
        <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f t="shared" si="130"/>
        <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f t="shared" si="123"/>
        <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f t="shared" si="130"/>
        <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f t="shared" si="123"/>
        <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f t="shared" si="130"/>
        <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f t="shared" si="123"/>
        <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f t="shared" si="130"/>
        <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f t="shared" si="123"/>
        <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f t="shared" si="130"/>
        <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f t="shared" si="123"/>
        <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f t="shared" si="130"/>
        <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f t="shared" si="123"/>
        <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f t="shared" si="130"/>
        <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f t="shared" si="123"/>
        <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f t="shared" si="130"/>
        <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f t="shared" si="123"/>
        <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f t="shared" si="130"/>
        <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f t="shared" si="123"/>
        <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f t="shared" si="130"/>
        <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f t="shared" si="123"/>
        <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f t="shared" si="130"/>
        <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f t="shared" si="123"/>
        <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f t="shared" si="130"/>
        <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f t="shared" si="123"/>
        <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f t="shared" si="130"/>
        <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f t="shared" si="123"/>
        <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f t="shared" si="130"/>
        <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f t="shared" si="123"/>
        <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f t="shared" si="130"/>
        <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f t="shared" si="123"/>
        <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f t="shared" si="130"/>
        <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f t="shared" si="123"/>
        <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f t="shared" si="130"/>
        <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f t="shared" si="123"/>
        <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f t="shared" si="130"/>
        <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f t="shared" si="123"/>
        <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f t="shared" si="130"/>
        <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f t="shared" si="123"/>
        <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f t="shared" si="130"/>
        <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f t="shared" si="123"/>
        <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f t="shared" si="130"/>
        <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f t="shared" si="123"/>
        <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f t="shared" si="130"/>
        <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f t="shared" si="123"/>
        <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f t="shared" si="130"/>
        <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f t="shared" si="123"/>
        <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f t="shared" si="130"/>
        <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f t="shared" si="123"/>
        <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f t="shared" si="130"/>
        <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f t="shared" si="123"/>
        <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f t="shared" si="130"/>
        <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f t="shared" si="123"/>
        <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f t="shared" si="130"/>
        <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f t="shared" si="123"/>
        <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f t="shared" si="130"/>
        <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f t="shared" si="123"/>
        <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f t="shared" si="130"/>
        <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f t="shared" si="123"/>
        <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f t="shared" si="130"/>
        <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f t="shared" si="123"/>
        <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f t="shared" si="130"/>
        <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f t="shared" si="123"/>
        <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f t="shared" si="130"/>
        <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f t="shared" si="123"/>
        <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f t="shared" si="130"/>
        <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f t="shared" si="123"/>
        <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f t="shared" si="130"/>
        <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f t="shared" si="123"/>
        <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f t="shared" si="130"/>
        <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f t="shared" si="123"/>
        <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f t="shared" si="130"/>
        <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f t="shared" si="123"/>
        <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f t="shared" si="130"/>
        <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f t="shared" si="123"/>
        <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f t="shared" si="130"/>
        <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f t="shared" si="123"/>
        <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f t="shared" si="130"/>
        <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f t="shared" si="123"/>
        <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f t="shared" si="130"/>
        <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f t="shared" si="123"/>
        <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f t="shared" si="130"/>
        <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f t="shared" si="123"/>
        <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f t="shared" si="130"/>
        <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f t="shared" si="123"/>
        <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f t="shared" si="130"/>
        <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f t="shared" si="123"/>
        <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f t="shared" si="130"/>
        <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f t="shared" si="123"/>
        <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f t="shared" si="130"/>
        <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f t="shared" si="123"/>
        <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f t="shared" si="130"/>
        <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f t="shared" si="123"/>
        <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f t="shared" si="130"/>
        <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f t="shared" si="123"/>
        <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f t="shared" si="130"/>
        <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f t="shared" si="123"/>
        <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f t="shared" si="130"/>
        <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f t="shared" si="123"/>
        <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f t="shared" si="130"/>
        <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f t="shared" si="123"/>
        <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f t="shared" si="130"/>
        <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f t="shared" si="123"/>
        <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f t="shared" si="130"/>
        <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f t="shared" si="123"/>
        <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f t="shared" si="130"/>
        <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f t="shared" si="123"/>
        <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f t="shared" si="130"/>
        <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f t="shared" si="123"/>
        <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f t="shared" si="130"/>
        <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f t="shared" si="123"/>
        <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f t="shared" si="130"/>
        <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f t="shared" si="123"/>
        <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f t="shared" si="130"/>
        <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f t="shared" si="123"/>
        <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f t="shared" si="130"/>
        <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f t="shared" si="123"/>
        <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f t="shared" si="130"/>
        <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f t="shared" si="123"/>
        <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f t="shared" si="130"/>
        <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f t="shared" si="123"/>
        <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f t="shared" si="130"/>
        <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f t="shared" si="123"/>
        <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f t="shared" si="130"/>
        <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f t="shared" si="123"/>
        <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f t="shared" ref="AY300:AY331" si="155">ROUND($AY$6*AZ300/$AZ$5,2)</f>
        <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f t="shared" si="123"/>
        <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f t="shared" si="155"/>
        <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f t="shared" si="123"/>
        <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f t="shared" si="155"/>
        <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f t="shared" ref="E303:E334" si="177">IF($C$3="是",ROUND($A$3*G303/$B$3,2),ROUND($A$3*(G303-AT303)/$B$3,2))</f>
        <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f t="shared" si="155"/>
        <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f t="shared" si="177"/>
        <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f t="shared" si="155"/>
        <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f t="shared" si="177"/>
        <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f t="shared" si="155"/>
        <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f t="shared" si="177"/>
        <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f t="shared" si="155"/>
        <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f t="shared" si="177"/>
        <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f t="shared" si="155"/>
        <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f t="shared" si="177"/>
        <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f t="shared" si="155"/>
        <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f t="shared" si="177"/>
        <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f t="shared" si="155"/>
        <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f t="shared" si="177"/>
        <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f t="shared" si="155"/>
        <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f t="shared" si="177"/>
        <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f t="shared" si="155"/>
        <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f t="shared" si="177"/>
        <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f t="shared" si="155"/>
        <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f t="shared" si="177"/>
        <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f t="shared" si="155"/>
        <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f t="shared" si="177"/>
        <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f t="shared" si="155"/>
        <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f t="shared" si="177"/>
        <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f t="shared" si="155"/>
        <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f t="shared" si="177"/>
        <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f t="shared" si="155"/>
        <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f t="shared" si="177"/>
        <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f t="shared" si="155"/>
        <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f t="shared" si="177"/>
        <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f t="shared" si="155"/>
        <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f t="shared" si="177"/>
        <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f t="shared" si="155"/>
        <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f t="shared" si="177"/>
        <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f t="shared" si="155"/>
        <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f t="shared" si="177"/>
        <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f t="shared" si="155"/>
        <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f t="shared" si="177"/>
        <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f t="shared" si="155"/>
        <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f t="shared" si="177"/>
        <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f t="shared" si="155"/>
        <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f t="shared" si="177"/>
        <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f t="shared" si="155"/>
        <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f t="shared" si="177"/>
        <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f t="shared" si="155"/>
        <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f t="shared" si="177"/>
        <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f t="shared" si="155"/>
        <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f t="shared" si="177"/>
        <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f t="shared" si="155"/>
        <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f t="shared" si="177"/>
        <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f t="shared" si="155"/>
        <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f t="shared" si="177"/>
        <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f t="shared" si="155"/>
        <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f t="shared" si="177"/>
        <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f t="shared" si="155"/>
        <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f t="shared" si="177"/>
        <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f t="shared" si="155"/>
        <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f t="shared" si="177"/>
        <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f t="shared" ref="AY332:AY363" si="184">ROUND($AY$6*AZ332/$AZ$5,2)</f>
        <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f t="shared" si="177"/>
        <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f t="shared" si="184"/>
        <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f t="shared" si="177"/>
        <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f t="shared" si="184"/>
        <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f t="shared" ref="E335:E366" si="206">IF($C$3="是",ROUND($A$3*G335/$B$3,2),ROUND($A$3*(G335-AT335)/$B$3,2))</f>
        <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f t="shared" si="184"/>
        <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f t="shared" si="206"/>
        <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f t="shared" si="184"/>
        <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f t="shared" si="206"/>
        <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f t="shared" si="184"/>
        <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f t="shared" si="206"/>
        <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f t="shared" si="184"/>
        <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f t="shared" si="206"/>
        <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f t="shared" si="184"/>
        <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f t="shared" si="206"/>
        <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f t="shared" si="184"/>
        <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f t="shared" si="206"/>
        <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f t="shared" si="184"/>
        <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f t="shared" si="206"/>
        <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f t="shared" si="184"/>
        <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f t="shared" si="206"/>
        <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f t="shared" si="184"/>
        <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f t="shared" si="206"/>
        <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f t="shared" si="184"/>
        <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f t="shared" si="206"/>
        <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f t="shared" si="184"/>
        <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f t="shared" si="206"/>
        <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f t="shared" si="184"/>
        <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f t="shared" si="206"/>
        <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f t="shared" si="184"/>
        <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f t="shared" si="206"/>
        <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f t="shared" si="184"/>
        <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f t="shared" si="206"/>
        <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f t="shared" si="184"/>
        <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f t="shared" si="206"/>
        <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f t="shared" si="184"/>
        <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f t="shared" si="206"/>
        <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f t="shared" si="184"/>
        <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f t="shared" si="206"/>
        <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f t="shared" si="184"/>
        <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f t="shared" si="206"/>
        <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f t="shared" si="184"/>
        <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f t="shared" si="206"/>
        <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f t="shared" si="184"/>
        <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f t="shared" si="206"/>
        <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f t="shared" si="184"/>
        <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f t="shared" si="206"/>
        <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f t="shared" si="184"/>
        <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f t="shared" si="206"/>
        <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f t="shared" si="184"/>
        <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f t="shared" si="206"/>
        <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f t="shared" si="184"/>
        <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f t="shared" si="206"/>
        <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f t="shared" si="184"/>
        <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f t="shared" si="206"/>
        <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f t="shared" si="184"/>
        <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f t="shared" si="206"/>
        <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f t="shared" si="184"/>
        <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f t="shared" si="206"/>
        <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f t="shared" si="184"/>
        <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f t="shared" si="206"/>
        <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f t="shared" si="184"/>
        <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f t="shared" si="206"/>
        <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f t="shared" ref="AY364:AY395" si="213">ROUND($AY$6*AZ364/$AZ$5,2)</f>
        <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f t="shared" si="206"/>
        <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f t="shared" si="213"/>
        <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f t="shared" si="206"/>
        <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f t="shared" si="213"/>
        <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f t="shared" ref="E367:E397" si="235">IF($C$3="是",ROUND($A$3*G367/$B$3,2),ROUND($A$3*(G367-AT367)/$B$3,2))</f>
        <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f t="shared" si="213"/>
        <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f t="shared" si="235"/>
        <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f t="shared" si="213"/>
        <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f t="shared" si="235"/>
        <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f t="shared" si="213"/>
        <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f t="shared" si="235"/>
        <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f t="shared" si="213"/>
        <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f t="shared" si="235"/>
        <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f t="shared" si="213"/>
        <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f t="shared" si="235"/>
        <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f t="shared" si="213"/>
        <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f t="shared" si="235"/>
        <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f t="shared" si="213"/>
        <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f t="shared" si="235"/>
        <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f t="shared" si="213"/>
        <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f t="shared" si="235"/>
        <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f t="shared" si="213"/>
        <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f t="shared" si="235"/>
        <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f t="shared" si="213"/>
        <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f t="shared" si="235"/>
        <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f t="shared" si="213"/>
        <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f t="shared" si="235"/>
        <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f t="shared" si="213"/>
        <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f t="shared" si="235"/>
        <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f t="shared" si="213"/>
        <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f t="shared" si="235"/>
        <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f t="shared" si="213"/>
        <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f t="shared" si="235"/>
        <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f t="shared" si="213"/>
        <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f t="shared" si="235"/>
        <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f t="shared" si="213"/>
        <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f t="shared" si="235"/>
        <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f t="shared" si="213"/>
        <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f t="shared" si="235"/>
        <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f t="shared" si="213"/>
        <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f t="shared" si="235"/>
        <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f t="shared" si="213"/>
        <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f t="shared" si="235"/>
        <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f t="shared" si="213"/>
        <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f t="shared" si="235"/>
        <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f t="shared" si="213"/>
        <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f t="shared" si="235"/>
        <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f t="shared" si="213"/>
        <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f t="shared" si="235"/>
        <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f t="shared" si="213"/>
        <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f t="shared" si="235"/>
        <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f t="shared" si="213"/>
        <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f t="shared" si="235"/>
        <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f t="shared" si="213"/>
        <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f t="shared" si="235"/>
        <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f t="shared" si="213"/>
        <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f t="shared" si="235"/>
        <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f t="shared" si="213"/>
        <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f t="shared" si="235"/>
        <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f t="shared" si="213"/>
        <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f t="shared" si="235"/>
        <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f t="shared" si="213"/>
        <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f t="shared" si="235"/>
        <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f>ROUND($AY$6*AZ396/$AZ$5,2)</f>
        <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f t="shared" si="235"/>
        <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f>ROUND($AY$6*AZ397/$AZ$5,2)</f>
        <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f t="shared" ref="E398:E492" si="239">IF($C$3="是",ROUND($A$3*G398/$B$3,2),ROUND($A$3*(G398-AT398)/$B$3,2))</f>
        <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f t="shared" ref="AY398:AY489" si="246">ROUND($AY$6*AZ398/$AZ$5,2)</f>
        <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f t="shared" si="239"/>
        <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f t="shared" si="246"/>
        <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f t="shared" si="239"/>
        <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f t="shared" si="246"/>
        <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f t="shared" si="239"/>
        <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f t="shared" si="246"/>
        <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f t="shared" si="239"/>
        <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f t="shared" si="246"/>
        <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f t="shared" si="239"/>
        <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f t="shared" si="246"/>
        <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f t="shared" si="239"/>
        <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f t="shared" si="246"/>
        <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f t="shared" si="239"/>
        <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f t="shared" si="246"/>
        <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f t="shared" si="239"/>
        <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f t="shared" si="246"/>
        <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f t="shared" si="239"/>
        <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f t="shared" si="246"/>
        <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f t="shared" si="239"/>
        <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f t="shared" si="246"/>
        <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f t="shared" si="239"/>
        <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f t="shared" si="246"/>
        <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f t="shared" si="239"/>
        <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f t="shared" si="246"/>
        <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f t="shared" si="239"/>
        <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f t="shared" si="246"/>
        <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f t="shared" si="239"/>
        <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f t="shared" si="246"/>
        <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f t="shared" si="239"/>
        <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f t="shared" si="246"/>
        <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f t="shared" si="239"/>
        <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f t="shared" si="246"/>
        <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f t="shared" si="239"/>
        <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f t="shared" si="246"/>
        <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f t="shared" si="239"/>
        <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f t="shared" si="246"/>
        <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f t="shared" si="239"/>
        <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f t="shared" si="246"/>
        <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f t="shared" si="239"/>
        <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f t="shared" si="246"/>
        <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f t="shared" si="239"/>
        <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f t="shared" si="246"/>
        <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f t="shared" si="239"/>
        <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f t="shared" si="246"/>
        <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f t="shared" si="239"/>
        <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f t="shared" si="246"/>
        <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f t="shared" si="239"/>
        <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f t="shared" si="246"/>
        <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f t="shared" si="239"/>
        <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f t="shared" si="246"/>
        <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f t="shared" si="239"/>
        <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f t="shared" si="246"/>
        <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f t="shared" si="239"/>
        <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f t="shared" si="246"/>
        <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f t="shared" si="239"/>
        <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f t="shared" si="246"/>
        <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f t="shared" si="239"/>
        <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f t="shared" si="246"/>
        <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f t="shared" si="239"/>
        <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f t="shared" si="246"/>
        <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f t="shared" si="239"/>
        <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f t="shared" si="246"/>
        <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f t="shared" si="239"/>
        <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f t="shared" si="246"/>
        <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f t="shared" si="239"/>
        <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f t="shared" si="246"/>
        <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f t="shared" si="239"/>
        <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f t="shared" si="246"/>
        <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f t="shared" si="239"/>
        <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f t="shared" si="246"/>
        <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f t="shared" si="239"/>
        <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f t="shared" si="246"/>
        <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f t="shared" si="239"/>
        <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f t="shared" si="246"/>
        <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f t="shared" si="239"/>
        <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f t="shared" si="246"/>
        <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f t="shared" si="239"/>
        <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f t="shared" si="246"/>
        <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f t="shared" si="239"/>
        <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f t="shared" si="246"/>
        <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f t="shared" si="239"/>
        <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f t="shared" si="246"/>
        <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f t="shared" si="239"/>
        <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f t="shared" si="246"/>
        <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f t="shared" si="239"/>
        <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f t="shared" si="246"/>
        <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f t="shared" si="239"/>
        <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f t="shared" si="246"/>
        <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f t="shared" si="239"/>
        <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f t="shared" si="246"/>
        <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f t="shared" si="239"/>
        <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f t="shared" si="246"/>
        <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f t="shared" si="239"/>
        <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f t="shared" si="246"/>
        <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f t="shared" si="239"/>
        <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f t="shared" si="246"/>
        <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f t="shared" si="239"/>
        <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f t="shared" si="246"/>
        <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f t="shared" si="239"/>
        <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f t="shared" si="246"/>
        <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f t="shared" si="239"/>
        <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f t="shared" si="246"/>
        <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f t="shared" si="239"/>
        <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f t="shared" si="246"/>
        <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f t="shared" si="239"/>
        <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f t="shared" si="246"/>
        <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f t="shared" si="239"/>
        <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f t="shared" si="246"/>
        <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f t="shared" si="239"/>
        <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f t="shared" si="246"/>
        <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f t="shared" si="239"/>
        <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f t="shared" si="246"/>
        <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f t="shared" si="239"/>
        <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f t="shared" si="246"/>
        <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f t="shared" si="239"/>
        <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f t="shared" si="246"/>
        <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f t="shared" si="239"/>
        <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f t="shared" si="246"/>
        <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f t="shared" si="239"/>
        <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f t="shared" si="246"/>
        <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f t="shared" si="239"/>
        <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f t="shared" si="246"/>
        <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f t="shared" si="239"/>
        <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f t="shared" si="246"/>
        <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f t="shared" si="239"/>
        <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f t="shared" si="246"/>
        <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f t="shared" si="239"/>
        <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f t="shared" si="246"/>
        <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f t="shared" si="239"/>
        <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f t="shared" si="246"/>
        <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f t="shared" si="239"/>
        <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f t="shared" si="246"/>
        <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f t="shared" si="239"/>
        <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f t="shared" si="246"/>
        <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f t="shared" si="239"/>
        <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f t="shared" si="246"/>
        <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f t="shared" si="239"/>
        <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f t="shared" si="246"/>
        <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f t="shared" si="239"/>
        <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f t="shared" si="246"/>
        <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f t="shared" si="239"/>
        <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f t="shared" si="246"/>
        <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f t="shared" si="239"/>
        <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f t="shared" si="246"/>
        <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f t="shared" si="239"/>
        <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f t="shared" si="246"/>
        <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f t="shared" si="239"/>
        <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f t="shared" si="246"/>
        <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f t="shared" si="239"/>
        <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f t="shared" si="246"/>
        <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f t="shared" si="239"/>
        <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f t="shared" si="246"/>
        <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f t="shared" si="239"/>
        <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f t="shared" si="246"/>
        <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f t="shared" si="239"/>
        <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f t="shared" si="246"/>
        <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f t="shared" si="239"/>
        <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f t="shared" si="246"/>
        <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f t="shared" si="239"/>
        <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f t="shared" si="246"/>
        <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f t="shared" si="239"/>
        <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f t="shared" si="246"/>
        <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f t="shared" si="239"/>
        <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f t="shared" si="246"/>
        <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f t="shared" si="239"/>
        <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f t="shared" si="246"/>
        <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f t="shared" si="239"/>
        <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f t="shared" si="246"/>
        <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f t="shared" si="239"/>
        <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f t="shared" si="246"/>
        <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f t="shared" si="239"/>
        <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f t="shared" si="246"/>
        <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f t="shared" si="239"/>
        <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f t="shared" si="246"/>
        <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f t="shared" si="239"/>
        <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f t="shared" si="246"/>
        <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f t="shared" si="239"/>
        <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f t="shared" si="246"/>
        <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f t="shared" si="239"/>
        <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f t="shared" si="246"/>
        <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f t="shared" si="239"/>
        <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f t="shared" si="246"/>
        <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f t="shared" si="239"/>
        <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f t="shared" ref="AY490:AY521" si="271">ROUND($AY$6*AZ490/$AZ$5,2)</f>
        <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f t="shared" si="239"/>
        <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f t="shared" si="271"/>
        <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f t="shared" si="239"/>
        <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f t="shared" si="271"/>
        <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f t="shared" ref="E493:E519" si="293">IF($C$3="是",ROUND($A$3*G493/$B$3,2),ROUND($A$3*(G493-AT493)/$B$3,2))</f>
        <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f t="shared" si="271"/>
        <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f t="shared" si="293"/>
        <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f t="shared" si="271"/>
        <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f t="shared" si="293"/>
        <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f t="shared" si="271"/>
        <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f t="shared" si="293"/>
        <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f t="shared" si="271"/>
        <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f t="shared" si="293"/>
        <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f t="shared" si="271"/>
        <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f t="shared" si="293"/>
        <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f t="shared" si="271"/>
        <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f t="shared" si="293"/>
        <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f t="shared" si="271"/>
        <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f t="shared" si="293"/>
        <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f t="shared" si="271"/>
        <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f t="shared" si="293"/>
        <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f t="shared" si="271"/>
        <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f t="shared" si="293"/>
        <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f t="shared" si="271"/>
        <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f t="shared" si="293"/>
        <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f t="shared" si="271"/>
        <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f t="shared" si="293"/>
        <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f t="shared" si="271"/>
        <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f t="shared" si="293"/>
        <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f t="shared" si="271"/>
        <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f t="shared" si="293"/>
        <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f t="shared" si="271"/>
        <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f t="shared" si="293"/>
        <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f t="shared" si="271"/>
        <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f t="shared" si="293"/>
        <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f t="shared" si="271"/>
        <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f t="shared" si="293"/>
        <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f t="shared" si="271"/>
        <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f t="shared" si="293"/>
        <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f t="shared" si="271"/>
        <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f t="shared" si="293"/>
        <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f t="shared" si="271"/>
        <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f t="shared" si="293"/>
        <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f t="shared" si="271"/>
        <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f t="shared" si="293"/>
        <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f t="shared" si="271"/>
        <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f t="shared" si="293"/>
        <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f t="shared" si="271"/>
        <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f t="shared" si="293"/>
        <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f t="shared" si="271"/>
        <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f t="shared" si="293"/>
        <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f t="shared" si="271"/>
        <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f t="shared" si="293"/>
        <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f t="shared" si="271"/>
        <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f t="shared" si="293"/>
        <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f t="shared" si="271"/>
        <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f t="shared" si="293"/>
        <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f t="shared" si="271"/>
        <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f t="shared" ref="E520:E551" si="297">IF($C$3="是",ROUND($A$3*G520/$B$3,2),ROUND($A$3*(G520-AT520)/$B$3,2))</f>
        <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f t="shared" si="271"/>
        <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f t="shared" si="297"/>
        <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f t="shared" si="271"/>
        <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f t="shared" si="297"/>
        <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f t="shared" ref="AY522:AY552" si="304">ROUND($AY$6*AZ522/$AZ$5,2)</f>
        <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f t="shared" si="297"/>
        <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f t="shared" si="304"/>
        <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f t="shared" si="297"/>
        <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f t="shared" si="304"/>
        <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f t="shared" si="297"/>
        <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f t="shared" si="304"/>
        <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f t="shared" si="297"/>
        <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f t="shared" si="304"/>
        <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f t="shared" si="297"/>
        <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f t="shared" si="304"/>
        <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f t="shared" si="297"/>
        <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f t="shared" si="304"/>
        <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f t="shared" si="297"/>
        <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f t="shared" si="304"/>
        <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f t="shared" si="297"/>
        <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f t="shared" si="304"/>
        <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f t="shared" si="297"/>
        <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f t="shared" si="304"/>
        <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f t="shared" si="297"/>
        <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f t="shared" si="304"/>
        <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f t="shared" si="297"/>
        <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f t="shared" si="304"/>
        <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f t="shared" si="297"/>
        <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f t="shared" si="304"/>
        <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f t="shared" si="297"/>
        <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f t="shared" si="304"/>
        <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f t="shared" si="297"/>
        <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f t="shared" si="304"/>
        <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f t="shared" si="297"/>
        <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f t="shared" si="304"/>
        <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f t="shared" si="297"/>
        <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f t="shared" si="304"/>
        <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f t="shared" si="297"/>
        <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f t="shared" si="304"/>
        <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f t="shared" si="297"/>
        <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f t="shared" si="304"/>
        <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f t="shared" si="297"/>
        <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f t="shared" si="304"/>
        <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f t="shared" si="297"/>
        <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f t="shared" si="304"/>
        <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f t="shared" si="297"/>
        <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f t="shared" si="304"/>
        <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f t="shared" si="297"/>
        <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f t="shared" si="304"/>
        <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f t="shared" si="297"/>
        <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f t="shared" si="304"/>
        <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f t="shared" si="297"/>
        <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f t="shared" si="304"/>
        <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f t="shared" si="297"/>
        <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f t="shared" si="304"/>
        <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f t="shared" si="297"/>
        <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f t="shared" si="304"/>
        <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f t="shared" si="297"/>
        <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f t="shared" si="304"/>
        <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f t="shared" si="297"/>
        <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f t="shared" si="304"/>
        <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f t="shared" si="297"/>
        <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f t="shared" si="304"/>
        <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f t="shared" ref="E552:E587" si="326">IF($C$3="是",ROUND($A$3*G552/$B$3,2),ROUND($A$3*(G552-AT552)/$B$3,2))</f>
        <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f t="shared" si="304"/>
        <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f t="shared" si="326"/>
        <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f t="shared" ref="AY553:AY584" si="333">ROUND($AY$6*AZ553/$AZ$5,2)</f>
        <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f t="shared" si="326"/>
        <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f t="shared" si="333"/>
        <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f t="shared" si="326"/>
        <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f t="shared" si="333"/>
        <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f t="shared" si="326"/>
        <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f t="shared" si="333"/>
        <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f t="shared" si="326"/>
        <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f t="shared" si="333"/>
        <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f t="shared" si="326"/>
        <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f t="shared" si="333"/>
        <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f t="shared" si="326"/>
        <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f t="shared" si="333"/>
        <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f t="shared" si="326"/>
        <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f t="shared" si="333"/>
        <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f t="shared" si="326"/>
        <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f t="shared" si="333"/>
        <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f t="shared" si="326"/>
        <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f t="shared" si="333"/>
        <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f t="shared" si="326"/>
        <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f t="shared" si="333"/>
        <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f t="shared" si="326"/>
        <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f t="shared" si="333"/>
        <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f t="shared" si="326"/>
        <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f t="shared" si="333"/>
        <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f t="shared" si="326"/>
        <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f t="shared" si="333"/>
        <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f t="shared" si="326"/>
        <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f t="shared" si="333"/>
        <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f t="shared" si="326"/>
        <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f t="shared" si="333"/>
        <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f t="shared" si="326"/>
        <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f t="shared" si="333"/>
        <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f t="shared" si="326"/>
        <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f t="shared" si="333"/>
        <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f t="shared" si="326"/>
        <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f t="shared" si="333"/>
        <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f t="shared" si="326"/>
        <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f t="shared" si="333"/>
        <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f t="shared" si="326"/>
        <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f t="shared" si="333"/>
        <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f t="shared" si="326"/>
        <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f t="shared" si="333"/>
        <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f t="shared" si="326"/>
        <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f t="shared" si="333"/>
        <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f t="shared" si="326"/>
        <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f t="shared" si="333"/>
        <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f t="shared" si="326"/>
        <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f t="shared" si="333"/>
        <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f t="shared" si="326"/>
        <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f t="shared" si="333"/>
        <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f t="shared" si="326"/>
        <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f t="shared" si="333"/>
        <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f t="shared" si="326"/>
        <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f t="shared" si="333"/>
        <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f t="shared" si="326"/>
        <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f t="shared" si="333"/>
        <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f t="shared" si="326"/>
        <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f t="shared" si="333"/>
        <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f t="shared" si="326"/>
        <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f t="shared" si="333"/>
        <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f t="shared" si="326"/>
        <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f t="shared" si="333"/>
        <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f t="shared" si="326"/>
        <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f>ROUND($AY$6*AZ585/$AZ$5,2)</f>
        <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f t="shared" si="326"/>
        <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f>ROUND($AY$6*AZ586/$AZ$5,2)</f>
        <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f t="shared" si="326"/>
        <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f>ROUND($AY$6*AZ587/$AZ$5,2)</f>
        <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C19" sqref="C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101" t="s">
        <v>1354</v>
      </c>
      <c r="B2" s="3101"/>
      <c r="C2" s="3101"/>
      <c r="D2" s="705" t="s">
        <v>1330</v>
      </c>
      <c r="E2" s="706" t="s">
        <v>1331</v>
      </c>
      <c r="F2" s="707"/>
      <c r="G2" s="708"/>
      <c r="H2" s="709"/>
      <c r="I2" s="710" t="s">
        <v>1355</v>
      </c>
      <c r="J2" s="707"/>
      <c r="K2" s="707"/>
      <c r="L2" s="707"/>
      <c r="M2" s="707"/>
      <c r="N2" s="472"/>
      <c r="O2" s="707"/>
      <c r="P2" s="707"/>
    </row>
    <row r="3" spans="1:16" ht="15.75" thickBot="1">
      <c r="A3" s="3102" t="s">
        <v>1328</v>
      </c>
      <c r="B3" s="3102"/>
      <c r="C3" s="3102"/>
      <c r="D3" s="711">
        <f>'数据-基础表'!AY6</f>
        <v>52670.3</v>
      </c>
      <c r="E3" s="711">
        <f>'数据-基础表'!AZ5</f>
        <v>84272.48</v>
      </c>
      <c r="F3" s="707"/>
      <c r="G3" s="712"/>
      <c r="H3" s="713" t="s">
        <v>1329</v>
      </c>
      <c r="I3" s="714">
        <f>ROUND('数据-基础表'!B3/'数据-基础表'!A3,2)</f>
        <v>1.6</v>
      </c>
      <c r="J3" s="707"/>
      <c r="K3" s="707"/>
      <c r="L3" s="707"/>
      <c r="M3" s="707"/>
      <c r="N3" s="472"/>
      <c r="O3" s="707"/>
      <c r="P3" s="707"/>
    </row>
    <row r="4" spans="1:16" ht="15">
      <c r="A4" s="3103"/>
      <c r="B4" s="3104"/>
      <c r="C4" s="3105"/>
      <c r="D4" s="715" t="s">
        <v>1330</v>
      </c>
      <c r="E4" s="716" t="s">
        <v>1331</v>
      </c>
      <c r="F4" s="707"/>
      <c r="G4" s="717" t="s">
        <v>1356</v>
      </c>
      <c r="H4" s="713" t="s">
        <v>1336</v>
      </c>
      <c r="I4" s="714">
        <f>ROUND(SUMIF('数据-基础表'!I9:AS9,"地上",'数据-基础表'!I5:AS5)/'数据-基础表'!A3,2)</f>
        <v>1.6</v>
      </c>
      <c r="J4" s="707"/>
      <c r="K4" s="707"/>
      <c r="L4" s="707"/>
      <c r="M4" s="707"/>
      <c r="N4" s="472"/>
      <c r="O4" s="707"/>
      <c r="P4" s="707"/>
    </row>
    <row r="5" spans="1:16">
      <c r="A5" s="718" t="s">
        <v>1332</v>
      </c>
      <c r="B5" s="3106" t="s">
        <v>1333</v>
      </c>
      <c r="C5" s="3106"/>
      <c r="D5" s="719">
        <f>ROUND($D$3*E5/$E$3,2)</f>
        <v>0</v>
      </c>
      <c r="E5" s="720">
        <f>SUMIF('数据-基础表'!$11:$11,"住宅",'数据-基础表'!$5:$5)</f>
        <v>0</v>
      </c>
      <c r="F5" s="707"/>
      <c r="G5" s="712"/>
      <c r="H5" s="713" t="s">
        <v>1329</v>
      </c>
      <c r="I5" s="714">
        <f>ROUND(E31/D31,2)</f>
        <v>1.6</v>
      </c>
      <c r="J5" s="707"/>
      <c r="K5" s="707"/>
      <c r="L5" s="707"/>
      <c r="M5" s="707"/>
      <c r="N5" s="707"/>
      <c r="O5" s="707"/>
      <c r="P5" s="707"/>
    </row>
    <row r="6" spans="1:16" ht="15" thickBot="1">
      <c r="A6" s="721"/>
      <c r="B6" s="3106" t="s">
        <v>1334</v>
      </c>
      <c r="C6" s="3106"/>
      <c r="D6" s="719">
        <f>ROUND($D$3*E6/$E$3,2)</f>
        <v>52670.3</v>
      </c>
      <c r="E6" s="720">
        <f>E3-E5</f>
        <v>84272.48</v>
      </c>
      <c r="F6" s="707"/>
      <c r="G6" s="722" t="s">
        <v>1335</v>
      </c>
      <c r="H6" s="723" t="s">
        <v>1336</v>
      </c>
      <c r="I6" s="724">
        <f>ROUND(F31/D31,2)</f>
        <v>1.6</v>
      </c>
      <c r="J6" s="707"/>
      <c r="K6" s="707"/>
      <c r="L6" s="707"/>
      <c r="M6" s="707"/>
      <c r="N6" s="707"/>
      <c r="O6" s="707"/>
      <c r="P6" s="707"/>
    </row>
    <row r="7" spans="1:16" ht="15.75" thickBot="1">
      <c r="A7" s="3098"/>
      <c r="B7" s="3099"/>
      <c r="C7" s="3100"/>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f t="shared" ref="D8:D15" si="0">ROUND($D$3*E8/$E$3,2)</f>
        <v>52670.3</v>
      </c>
      <c r="E8" s="720">
        <f>SUMIF('数据-基础表'!BB10:BK10,"地上",'数据-基础表'!BB5:BK5)</f>
        <v>84272.48</v>
      </c>
      <c r="F8" s="707"/>
      <c r="G8" s="730"/>
      <c r="H8" s="730"/>
      <c r="I8" s="707"/>
      <c r="J8" s="707"/>
      <c r="K8" s="707"/>
      <c r="L8" s="707"/>
      <c r="M8" s="707"/>
      <c r="N8" s="707"/>
      <c r="O8" s="707"/>
      <c r="P8" s="707"/>
    </row>
    <row r="9" spans="1:16">
      <c r="A9" s="731"/>
      <c r="B9" s="732"/>
      <c r="C9" s="719" t="s">
        <v>1342</v>
      </c>
      <c r="D9" s="719">
        <f t="shared" si="0"/>
        <v>0</v>
      </c>
      <c r="E9" s="733">
        <v>0</v>
      </c>
      <c r="F9" s="707"/>
      <c r="G9" s="730"/>
      <c r="H9" s="730"/>
      <c r="I9" s="707"/>
      <c r="J9" s="707"/>
      <c r="K9" s="707"/>
      <c r="L9" s="707"/>
      <c r="M9" s="707"/>
      <c r="N9" s="707"/>
      <c r="O9" s="707"/>
      <c r="P9" s="707"/>
    </row>
    <row r="10" spans="1:16">
      <c r="A10" s="731"/>
      <c r="B10" s="732"/>
      <c r="C10" s="719" t="s">
        <v>1351</v>
      </c>
      <c r="D10" s="719">
        <f t="shared" si="0"/>
        <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f t="shared" si="0"/>
        <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f t="shared" si="0"/>
        <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f t="shared" si="0"/>
        <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f t="shared" si="0"/>
        <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f t="shared" si="0"/>
        <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f>SUM(D8:D15)</f>
        <v>52670.3</v>
      </c>
      <c r="E16" s="734">
        <f>SUM(E8:E15)</f>
        <v>84272.48</v>
      </c>
      <c r="F16" s="707"/>
      <c r="G16" s="730"/>
      <c r="H16" s="735" t="s">
        <v>1358</v>
      </c>
      <c r="I16" s="736"/>
      <c r="J16" s="703"/>
      <c r="K16" s="3095" t="s">
        <v>1358</v>
      </c>
      <c r="L16" s="3096"/>
      <c r="M16" s="3096"/>
      <c r="N16" s="3096"/>
      <c r="O16" s="3096"/>
      <c r="P16" s="3097"/>
    </row>
    <row r="17" spans="1:19" ht="15">
      <c r="A17" s="737" t="s">
        <v>1359</v>
      </c>
      <c r="B17" s="738" t="s">
        <v>1360</v>
      </c>
      <c r="C17" s="739" t="s">
        <v>1361</v>
      </c>
      <c r="D17" s="740" t="s">
        <v>1349</v>
      </c>
      <c r="E17" s="741" t="s">
        <v>1350</v>
      </c>
      <c r="F17" s="742"/>
      <c r="G17" s="743"/>
      <c r="H17" s="744" t="s">
        <v>1362</v>
      </c>
      <c r="I17" s="745" t="s">
        <v>1347</v>
      </c>
      <c r="J17" s="703"/>
      <c r="K17" s="3092" t="s">
        <v>1363</v>
      </c>
      <c r="L17" s="3093"/>
      <c r="M17" s="3094"/>
      <c r="N17" s="3092" t="s">
        <v>1364</v>
      </c>
      <c r="O17" s="3093"/>
      <c r="P17" s="3094"/>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f>ROUND($D$3*E19/$E$3,2)</f>
        <v>52670.3</v>
      </c>
      <c r="E19" s="719">
        <f t="shared" ref="E19:E26" si="1">SUM(F19:G19)</f>
        <v>84272.48</v>
      </c>
      <c r="F19" s="757">
        <f>'数据-基础表'!I13</f>
        <v>84272.48</v>
      </c>
      <c r="G19" s="758"/>
      <c r="H19" s="759">
        <f>ROUND($D$3*I19/$E$3,2)</f>
        <v>0</v>
      </c>
      <c r="I19" s="720">
        <f t="shared" ref="I19:I26" si="2">IF($I$17="自定义",P19,M19)</f>
        <v>0</v>
      </c>
      <c r="J19" s="703"/>
      <c r="K19" s="760">
        <f t="shared" ref="K19:K26" si="3">ROUND(E$28*E19/E$27,2)</f>
        <v>0</v>
      </c>
      <c r="L19" s="713">
        <f t="shared" ref="L19:L26" si="4">ROUND(IF(COUNTIF(C19,"*住宅*")&gt;0,E$29*E19/E$32,0),2)</f>
        <v>0</v>
      </c>
      <c r="M19" s="761">
        <f>K19+L19</f>
        <v>0</v>
      </c>
      <c r="N19" s="762"/>
      <c r="O19" s="763"/>
      <c r="P19" s="761">
        <f>N19+O19</f>
        <v>0</v>
      </c>
      <c r="R19" s="713">
        <f t="shared" ref="R19:S26" si="5">D19+H19</f>
        <v>52670.3</v>
      </c>
      <c r="S19" s="713">
        <f t="shared" si="5"/>
        <v>84272.48</v>
      </c>
    </row>
    <row r="20" spans="1:19">
      <c r="A20" s="764"/>
      <c r="B20" s="729" t="s">
        <v>1376</v>
      </c>
      <c r="C20" s="756"/>
      <c r="D20" s="719">
        <f t="shared" ref="D20:D26" si="6">ROUND($D$3*E20/$E$3,2)</f>
        <v>0</v>
      </c>
      <c r="E20" s="719">
        <f t="shared" si="1"/>
        <v>0</v>
      </c>
      <c r="F20" s="757"/>
      <c r="G20" s="758"/>
      <c r="H20" s="759">
        <f t="shared" ref="H20:H26" si="7">ROUND($D$3*I20/$E$3,2)</f>
        <v>0</v>
      </c>
      <c r="I20" s="720">
        <f t="shared" si="2"/>
        <v>0</v>
      </c>
      <c r="J20" s="703"/>
      <c r="K20" s="760">
        <f t="shared" si="3"/>
        <v>0</v>
      </c>
      <c r="L20" s="713">
        <f t="shared" si="4"/>
        <v>0</v>
      </c>
      <c r="M20" s="761">
        <f t="shared" ref="M20:M26" si="8">K20+L20</f>
        <v>0</v>
      </c>
      <c r="N20" s="762"/>
      <c r="O20" s="763"/>
      <c r="P20" s="761">
        <f t="shared" ref="P20:P26" si="9">N20+O20</f>
        <v>0</v>
      </c>
      <c r="R20" s="713">
        <f t="shared" si="5"/>
        <v>0</v>
      </c>
      <c r="S20" s="713">
        <f t="shared" si="5"/>
        <v>0</v>
      </c>
    </row>
    <row r="21" spans="1:19">
      <c r="A21" s="764"/>
      <c r="B21" s="729" t="s">
        <v>1376</v>
      </c>
      <c r="C21" s="756"/>
      <c r="D21" s="719">
        <f t="shared" si="6"/>
        <v>0</v>
      </c>
      <c r="E21" s="719">
        <f t="shared" si="1"/>
        <v>0</v>
      </c>
      <c r="F21" s="757"/>
      <c r="G21" s="758"/>
      <c r="H21" s="759">
        <f t="shared" si="7"/>
        <v>0</v>
      </c>
      <c r="I21" s="720">
        <f t="shared" si="2"/>
        <v>0</v>
      </c>
      <c r="J21" s="703"/>
      <c r="K21" s="760">
        <f t="shared" si="3"/>
        <v>0</v>
      </c>
      <c r="L21" s="713">
        <f t="shared" si="4"/>
        <v>0</v>
      </c>
      <c r="M21" s="761">
        <f t="shared" si="8"/>
        <v>0</v>
      </c>
      <c r="N21" s="762"/>
      <c r="O21" s="763"/>
      <c r="P21" s="761">
        <f t="shared" si="9"/>
        <v>0</v>
      </c>
      <c r="R21" s="713">
        <f t="shared" si="5"/>
        <v>0</v>
      </c>
      <c r="S21" s="713">
        <f t="shared" si="5"/>
        <v>0</v>
      </c>
    </row>
    <row r="22" spans="1:19">
      <c r="A22" s="764"/>
      <c r="B22" s="729" t="s">
        <v>1376</v>
      </c>
      <c r="C22" s="765"/>
      <c r="D22" s="719">
        <f t="shared" si="6"/>
        <v>0</v>
      </c>
      <c r="E22" s="719">
        <f t="shared" si="1"/>
        <v>0</v>
      </c>
      <c r="F22" s="766"/>
      <c r="G22" s="767"/>
      <c r="H22" s="759">
        <f t="shared" si="7"/>
        <v>0</v>
      </c>
      <c r="I22" s="720">
        <f t="shared" si="2"/>
        <v>0</v>
      </c>
      <c r="J22" s="703"/>
      <c r="K22" s="760">
        <f t="shared" si="3"/>
        <v>0</v>
      </c>
      <c r="L22" s="713">
        <f t="shared" si="4"/>
        <v>0</v>
      </c>
      <c r="M22" s="761">
        <f t="shared" si="8"/>
        <v>0</v>
      </c>
      <c r="N22" s="762"/>
      <c r="O22" s="763"/>
      <c r="P22" s="761">
        <f t="shared" si="9"/>
        <v>0</v>
      </c>
      <c r="R22" s="713">
        <f t="shared" si="5"/>
        <v>0</v>
      </c>
      <c r="S22" s="713">
        <f t="shared" si="5"/>
        <v>0</v>
      </c>
    </row>
    <row r="23" spans="1:19">
      <c r="A23" s="764"/>
      <c r="B23" s="729" t="s">
        <v>1376</v>
      </c>
      <c r="C23" s="765"/>
      <c r="D23" s="719">
        <f>ROUND($D$3*E23/$E$3,2)</f>
        <v>0</v>
      </c>
      <c r="E23" s="719">
        <f>SUM(F23:G23)</f>
        <v>0</v>
      </c>
      <c r="F23" s="766"/>
      <c r="G23" s="767"/>
      <c r="H23" s="759">
        <f>ROUND($D$3*I23/$E$3,2)</f>
        <v>0</v>
      </c>
      <c r="I23" s="720">
        <f t="shared" si="2"/>
        <v>0</v>
      </c>
      <c r="J23" s="703"/>
      <c r="K23" s="760">
        <f t="shared" si="3"/>
        <v>0</v>
      </c>
      <c r="L23" s="713">
        <f t="shared" si="4"/>
        <v>0</v>
      </c>
      <c r="M23" s="761">
        <f t="shared" si="8"/>
        <v>0</v>
      </c>
      <c r="N23" s="762"/>
      <c r="O23" s="763"/>
      <c r="P23" s="761">
        <f t="shared" si="9"/>
        <v>0</v>
      </c>
      <c r="R23" s="713">
        <f t="shared" si="5"/>
        <v>0</v>
      </c>
      <c r="S23" s="713">
        <f t="shared" si="5"/>
        <v>0</v>
      </c>
    </row>
    <row r="24" spans="1:19">
      <c r="A24" s="764"/>
      <c r="B24" s="729" t="s">
        <v>1376</v>
      </c>
      <c r="C24" s="765"/>
      <c r="D24" s="719">
        <f>ROUND($D$3*E24/$E$3,2)</f>
        <v>0</v>
      </c>
      <c r="E24" s="719">
        <f>SUM(F24:G24)</f>
        <v>0</v>
      </c>
      <c r="F24" s="766"/>
      <c r="G24" s="767"/>
      <c r="H24" s="759">
        <f>ROUND($D$3*I24/$E$3,2)</f>
        <v>0</v>
      </c>
      <c r="I24" s="720">
        <f t="shared" si="2"/>
        <v>0</v>
      </c>
      <c r="J24" s="703"/>
      <c r="K24" s="760">
        <f t="shared" si="3"/>
        <v>0</v>
      </c>
      <c r="L24" s="713">
        <f t="shared" si="4"/>
        <v>0</v>
      </c>
      <c r="M24" s="761">
        <f t="shared" si="8"/>
        <v>0</v>
      </c>
      <c r="N24" s="762"/>
      <c r="O24" s="763"/>
      <c r="P24" s="761">
        <f t="shared" si="9"/>
        <v>0</v>
      </c>
      <c r="R24" s="713">
        <f t="shared" si="5"/>
        <v>0</v>
      </c>
      <c r="S24" s="713">
        <f t="shared" si="5"/>
        <v>0</v>
      </c>
    </row>
    <row r="25" spans="1:19">
      <c r="A25" s="764"/>
      <c r="B25" s="729" t="s">
        <v>1376</v>
      </c>
      <c r="C25" s="765"/>
      <c r="D25" s="719">
        <f t="shared" si="6"/>
        <v>0</v>
      </c>
      <c r="E25" s="719">
        <f t="shared" si="1"/>
        <v>0</v>
      </c>
      <c r="F25" s="766"/>
      <c r="G25" s="767"/>
      <c r="H25" s="718">
        <f t="shared" si="7"/>
        <v>0</v>
      </c>
      <c r="I25" s="720">
        <f t="shared" si="2"/>
        <v>0</v>
      </c>
      <c r="J25" s="703"/>
      <c r="K25" s="760">
        <f t="shared" si="3"/>
        <v>0</v>
      </c>
      <c r="L25" s="713">
        <f t="shared" si="4"/>
        <v>0</v>
      </c>
      <c r="M25" s="761">
        <f t="shared" si="8"/>
        <v>0</v>
      </c>
      <c r="N25" s="762"/>
      <c r="O25" s="763"/>
      <c r="P25" s="761">
        <f t="shared" si="9"/>
        <v>0</v>
      </c>
      <c r="R25" s="713">
        <f t="shared" si="5"/>
        <v>0</v>
      </c>
      <c r="S25" s="713">
        <f t="shared" si="5"/>
        <v>0</v>
      </c>
    </row>
    <row r="26" spans="1:19">
      <c r="A26" s="764"/>
      <c r="B26" s="729" t="s">
        <v>1376</v>
      </c>
      <c r="C26" s="768"/>
      <c r="D26" s="719">
        <f t="shared" si="6"/>
        <v>0</v>
      </c>
      <c r="E26" s="719">
        <f t="shared" si="1"/>
        <v>0</v>
      </c>
      <c r="F26" s="766"/>
      <c r="G26" s="767"/>
      <c r="H26" s="718">
        <f t="shared" si="7"/>
        <v>0</v>
      </c>
      <c r="I26" s="720">
        <f t="shared" si="2"/>
        <v>0</v>
      </c>
      <c r="J26" s="703"/>
      <c r="K26" s="712">
        <f t="shared" si="3"/>
        <v>0</v>
      </c>
      <c r="L26" s="723">
        <f t="shared" si="4"/>
        <v>0</v>
      </c>
      <c r="M26" s="769">
        <f t="shared" si="8"/>
        <v>0</v>
      </c>
      <c r="N26" s="770"/>
      <c r="O26" s="771"/>
      <c r="P26" s="769">
        <f t="shared" si="9"/>
        <v>0</v>
      </c>
      <c r="R26" s="713">
        <f t="shared" si="5"/>
        <v>0</v>
      </c>
      <c r="S26" s="713">
        <f t="shared" si="5"/>
        <v>0</v>
      </c>
    </row>
    <row r="27" spans="1:19" ht="15.75" thickBot="1">
      <c r="A27" s="764"/>
      <c r="B27" s="719"/>
      <c r="C27" s="772" t="s">
        <v>1377</v>
      </c>
      <c r="D27" s="773">
        <f>SUM(D19:D26)</f>
        <v>52670.3</v>
      </c>
      <c r="E27" s="705">
        <f>IF(SUM(E19:E26)='数据-基础表'!BA5,SUM(E19:E26),IF(F27="地上面积有误","面积有误","地下面积有误"))</f>
        <v>84272.48</v>
      </c>
      <c r="F27" s="773">
        <f>IF(SUM(F19:F26)=E8,SUM(F19:F26),"地上面积有误")</f>
        <v>84272.48</v>
      </c>
      <c r="G27" s="774">
        <f>SUM(G19:G26)</f>
        <v>0</v>
      </c>
      <c r="H27" s="775">
        <f>SUM(H19:H26)</f>
        <v>0</v>
      </c>
      <c r="I27" s="776">
        <f>SUM(I19:I26)</f>
        <v>0</v>
      </c>
      <c r="J27" s="703"/>
      <c r="K27" s="777">
        <f>SUM(K19:K26)</f>
        <v>0</v>
      </c>
      <c r="L27" s="778">
        <f>SUM(L19:L26)</f>
        <v>0</v>
      </c>
      <c r="M27" s="779">
        <f>SUM(M19:M26)</f>
        <v>0</v>
      </c>
      <c r="N27" s="777">
        <f t="shared" ref="N27:O27" si="10">SUM(N19:N26)</f>
        <v>0</v>
      </c>
      <c r="O27" s="778">
        <f t="shared" si="10"/>
        <v>0</v>
      </c>
      <c r="P27" s="780">
        <f>SUM(P19:P26)</f>
        <v>0</v>
      </c>
      <c r="R27" s="781">
        <f>IF(SUM(R19:R26)=$D$3,SUM(R19:R26),SUM(R19:R26)&amp;"误差"&amp;ROUND(SUM(R19:R26)-$D$3,2))</f>
        <v>52670.3</v>
      </c>
      <c r="S27" s="713">
        <f>IF(SUM(S19:S26)=$E$3,SUM(S19:S26),SUM(S19:S26)&amp;"误差"&amp;ROUND(SUM(S19:S26)-E3,2))</f>
        <v>84272.48</v>
      </c>
    </row>
    <row r="28" spans="1:19">
      <c r="A28" s="764"/>
      <c r="B28" s="729" t="s">
        <v>1378</v>
      </c>
      <c r="C28" s="782" t="s">
        <v>1379</v>
      </c>
      <c r="D28" s="719">
        <f>ROUND($D$3*E28/$E$3,2)</f>
        <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f>ROUND($D$3*E29/$E$3,2)</f>
        <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f>SUM(D28:D29)</f>
        <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f>D27+D30</f>
        <v>52670.3</v>
      </c>
      <c r="E31" s="790">
        <f>E27+E30</f>
        <v>84272.48</v>
      </c>
      <c r="F31" s="789">
        <f>F27+F30</f>
        <v>84272.48</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44826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t="s">
        <v>886</v>
      </c>
      <c r="D6" s="130">
        <f>SUMIF(项目基本情况!D$12:I$12,C6,项目基本情况!D$14:I$14)</f>
        <v>40</v>
      </c>
      <c r="E6" s="129" t="str">
        <f>IF(B6="","",SUMIF(项目基本情况!D$12:I$12,C6,项目基本情况!D$13:I$13))</f>
        <v/>
      </c>
      <c r="F6" s="42">
        <f>SUMIF(项目基本情况!D$12:I$12,C6,项目基本情况!D$15:I$15)</f>
        <v>40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107" t="s">
        <v>2548</v>
      </c>
      <c r="B1" s="3108"/>
      <c r="C1" s="3108"/>
      <c r="D1" s="3108"/>
      <c r="E1" s="3108"/>
      <c r="F1" s="3108"/>
      <c r="G1" s="3108"/>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84272.48</v>
      </c>
      <c r="C1" s="795"/>
      <c r="D1" s="795"/>
      <c r="E1" s="795"/>
      <c r="F1" s="795"/>
      <c r="G1" s="796"/>
      <c r="H1" s="797"/>
      <c r="I1" s="797"/>
      <c r="J1" s="797"/>
      <c r="K1" s="797"/>
    </row>
    <row r="2" spans="1:11" ht="16.5">
      <c r="A2" s="794" t="s">
        <v>866</v>
      </c>
      <c r="B2" s="794">
        <f>SUM(C14:C23)</f>
        <v>52670.3</v>
      </c>
      <c r="C2" s="795"/>
      <c r="D2" s="795"/>
      <c r="E2" s="795"/>
      <c r="F2" s="795"/>
      <c r="G2" s="796"/>
      <c r="H2" s="797"/>
      <c r="I2" s="797"/>
      <c r="J2" s="797"/>
      <c r="K2" s="797"/>
    </row>
    <row r="3" spans="1:11" ht="16.5">
      <c r="A3" s="794" t="s">
        <v>875</v>
      </c>
      <c r="B3" s="353">
        <f>项目基本情况!D3</f>
        <v>44826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f>ROUND(B7*10000/$B$1,0)</f>
        <v>0</v>
      </c>
      <c r="D7" s="794">
        <f>ROUND(B7*10000/$B$2,0)</f>
        <v>0</v>
      </c>
      <c r="E7" s="795"/>
      <c r="F7" s="796"/>
      <c r="G7" s="796"/>
      <c r="H7" s="797"/>
      <c r="I7" s="797"/>
      <c r="J7" s="797"/>
      <c r="K7" s="797"/>
    </row>
    <row r="8" spans="1:11" ht="16.5">
      <c r="A8" s="794" t="s">
        <v>800</v>
      </c>
      <c r="B8" s="794">
        <f>SUM(I14:I23)</f>
        <v>0</v>
      </c>
      <c r="C8" s="794">
        <f>ROUND(B8*10000/$B$1,0)</f>
        <v>0</v>
      </c>
      <c r="D8" s="794">
        <f>ROUND(B8*10000/$B$2,0)</f>
        <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84272.48</v>
      </c>
      <c r="C14" s="803">
        <f>结果表!C118</f>
        <v>52670.3</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1" t="str">
        <f>项目基本情况!S2</f>
        <v>北京市房地产</v>
      </c>
      <c r="B2" s="3142"/>
      <c r="C2" s="3142"/>
      <c r="D2" s="3142"/>
      <c r="E2" s="3142"/>
      <c r="F2" s="3142"/>
      <c r="G2" s="3142"/>
      <c r="H2" s="3142"/>
      <c r="I2" s="3143"/>
    </row>
    <row r="3" spans="1:12" ht="12.75">
      <c r="A3" s="3145" t="s">
        <v>1488</v>
      </c>
      <c r="B3" s="3146"/>
      <c r="C3" s="3146"/>
      <c r="D3" s="3146"/>
      <c r="E3" s="3146"/>
      <c r="F3" s="3146"/>
      <c r="G3" s="3146"/>
      <c r="H3" s="3146"/>
      <c r="I3" s="3146"/>
    </row>
    <row r="4" spans="1:12" ht="14.25">
      <c r="A4" s="872" t="s">
        <v>1489</v>
      </c>
      <c r="B4" s="873" t="s">
        <v>1490</v>
      </c>
      <c r="C4" s="874"/>
      <c r="D4" s="874"/>
      <c r="E4" s="3147" t="s">
        <v>1491</v>
      </c>
      <c r="F4" s="3148"/>
      <c r="G4" s="3148"/>
      <c r="H4" s="3148"/>
      <c r="I4" s="3149"/>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2" t="s">
        <v>1492</v>
      </c>
      <c r="B5" s="3110">
        <v>25</v>
      </c>
      <c r="C5" s="3125"/>
      <c r="D5" s="3144"/>
      <c r="E5" s="875" t="s">
        <v>1493</v>
      </c>
      <c r="F5" s="876"/>
      <c r="G5" s="876"/>
      <c r="H5" s="876"/>
      <c r="I5" s="826"/>
    </row>
    <row r="6" spans="1:12" ht="12.75">
      <c r="A6" s="3122"/>
      <c r="B6" s="3110"/>
      <c r="C6" s="3126"/>
      <c r="D6" s="3144"/>
      <c r="E6" s="875" t="s">
        <v>1494</v>
      </c>
      <c r="F6" s="876"/>
      <c r="G6" s="876"/>
      <c r="H6" s="876"/>
      <c r="I6" s="826"/>
    </row>
    <row r="7" spans="1:12" ht="12.75">
      <c r="A7" s="3122"/>
      <c r="B7" s="3110"/>
      <c r="C7" s="3127"/>
      <c r="D7" s="3144"/>
      <c r="E7" s="875" t="s">
        <v>1495</v>
      </c>
      <c r="F7" s="876"/>
      <c r="G7" s="876"/>
      <c r="H7" s="876"/>
      <c r="I7" s="826"/>
    </row>
    <row r="8" spans="1:12" ht="12.75">
      <c r="A8" s="3122" t="s">
        <v>1496</v>
      </c>
      <c r="B8" s="3110">
        <v>15</v>
      </c>
      <c r="C8" s="3125"/>
      <c r="D8" s="3144"/>
      <c r="E8" s="875" t="s">
        <v>1497</v>
      </c>
      <c r="F8" s="876"/>
      <c r="G8" s="876"/>
      <c r="H8" s="876"/>
      <c r="I8" s="826"/>
    </row>
    <row r="9" spans="1:12" ht="12.75">
      <c r="A9" s="3122"/>
      <c r="B9" s="3110"/>
      <c r="C9" s="3127"/>
      <c r="D9" s="3144"/>
      <c r="E9" s="875" t="s">
        <v>1498</v>
      </c>
      <c r="F9" s="876"/>
      <c r="G9" s="876"/>
      <c r="H9" s="876"/>
      <c r="I9" s="826"/>
    </row>
    <row r="10" spans="1:12" ht="12.75">
      <c r="A10" s="3122" t="s">
        <v>1499</v>
      </c>
      <c r="B10" s="3110">
        <v>15</v>
      </c>
      <c r="C10" s="3125"/>
      <c r="D10" s="3144"/>
      <c r="E10" s="875" t="s">
        <v>1500</v>
      </c>
      <c r="F10" s="876"/>
      <c r="G10" s="876"/>
      <c r="H10" s="876"/>
      <c r="I10" s="826"/>
    </row>
    <row r="11" spans="1:12" ht="12.75">
      <c r="A11" s="3122"/>
      <c r="B11" s="3110"/>
      <c r="C11" s="3127"/>
      <c r="D11" s="3144"/>
      <c r="E11" s="875" t="s">
        <v>1501</v>
      </c>
      <c r="F11" s="876"/>
      <c r="G11" s="876"/>
      <c r="H11" s="876"/>
      <c r="I11" s="826"/>
    </row>
    <row r="12" spans="1:12" ht="12.75">
      <c r="A12" s="3122" t="s">
        <v>1502</v>
      </c>
      <c r="B12" s="3110">
        <v>15</v>
      </c>
      <c r="C12" s="3125"/>
      <c r="D12" s="3144"/>
      <c r="E12" s="875" t="s">
        <v>1503</v>
      </c>
      <c r="F12" s="876"/>
      <c r="G12" s="876"/>
      <c r="H12" s="876"/>
      <c r="I12" s="826"/>
    </row>
    <row r="13" spans="1:12" ht="12.75">
      <c r="A13" s="3122"/>
      <c r="B13" s="3110"/>
      <c r="C13" s="3127"/>
      <c r="D13" s="3144"/>
      <c r="E13" s="875" t="s">
        <v>1504</v>
      </c>
      <c r="F13" s="876"/>
      <c r="G13" s="876"/>
      <c r="H13" s="876"/>
      <c r="I13" s="826"/>
    </row>
    <row r="14" spans="1:12" ht="12.75">
      <c r="A14" s="3122" t="s">
        <v>1505</v>
      </c>
      <c r="B14" s="3110">
        <v>30</v>
      </c>
      <c r="C14" s="3125"/>
      <c r="D14" s="3144"/>
      <c r="E14" s="875" t="s">
        <v>1506</v>
      </c>
      <c r="F14" s="876"/>
      <c r="G14" s="876"/>
      <c r="H14" s="876"/>
      <c r="I14" s="826"/>
    </row>
    <row r="15" spans="1:12" ht="12.75">
      <c r="A15" s="3122"/>
      <c r="B15" s="3110"/>
      <c r="C15" s="3126"/>
      <c r="D15" s="3144"/>
      <c r="E15" s="875" t="s">
        <v>1507</v>
      </c>
      <c r="F15" s="876"/>
      <c r="G15" s="876"/>
      <c r="H15" s="876"/>
      <c r="I15" s="826"/>
    </row>
    <row r="16" spans="1:12" ht="12.75">
      <c r="A16" s="3122"/>
      <c r="B16" s="3110"/>
      <c r="C16" s="3127"/>
      <c r="D16" s="314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32" t="s">
        <v>2389</v>
      </c>
      <c r="F18" s="3133"/>
      <c r="G18" s="3133"/>
      <c r="H18" s="3133"/>
      <c r="I18" s="3133"/>
      <c r="K18" s="879" t="s">
        <v>1513</v>
      </c>
      <c r="L18" s="879">
        <f>IF(C1="",'数据-汇总表'!E3,SUMIF(项目类型,C1,'数据-汇总表'!E17:E26)+SUMIF(项目类型,C1,'数据-汇总表'!I17:I26))</f>
        <v>84272.48</v>
      </c>
      <c r="M18" s="879">
        <f>IF(C1="",'数据-汇总表'!E3,SUMIF(项目类型,C1,'数据-汇总表'!E17:E26))</f>
        <v>84272.48</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f>IF(C1="",'数据-汇总表'!D3,SUMIF(项目类型,C1,'数据-汇总表'!D17:D26)+SUMIF(项目类型,C1,'数据-汇总表'!H17:H27))</f>
        <v>52670.3</v>
      </c>
      <c r="M19" s="879">
        <f>IF(C1="",'数据-汇总表'!D3,SUMIF(项目类型,C1,'数据-汇总表'!D17:D26))</f>
        <v>52670.3</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17" t="s">
        <v>1523</v>
      </c>
      <c r="B24" s="884" t="s">
        <v>1515</v>
      </c>
      <c r="C24" s="887">
        <f>IF(B30=0,0,D30)</f>
        <v>0</v>
      </c>
      <c r="D24" s="903"/>
      <c r="E24" s="677"/>
      <c r="F24" s="677"/>
      <c r="G24" s="677"/>
      <c r="H24" s="677"/>
      <c r="I24" s="677"/>
    </row>
    <row r="25" spans="1:36" ht="14.25">
      <c r="A25" s="311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14" t="s">
        <v>1550</v>
      </c>
      <c r="B45" s="3115"/>
      <c r="C45" s="3116"/>
      <c r="D45" s="965" t="e">
        <f ca="1">ROUND(H101*F45,0)</f>
        <v>#REF!</v>
      </c>
      <c r="E45" s="966" t="s">
        <v>1551</v>
      </c>
      <c r="F45" s="967">
        <v>1</v>
      </c>
      <c r="G45" s="968" t="s">
        <v>1552</v>
      </c>
      <c r="H45" s="677"/>
      <c r="I45" s="677"/>
      <c r="J45" s="3189" t="s">
        <v>1553</v>
      </c>
      <c r="K45" s="3189"/>
      <c r="L45" s="3189"/>
      <c r="M45" s="3189"/>
      <c r="N45" s="3189"/>
      <c r="O45" s="3189"/>
    </row>
    <row r="46" spans="1:15" ht="14.25" customHeight="1">
      <c r="A46" s="3111" t="s">
        <v>1554</v>
      </c>
      <c r="B46" s="3112"/>
      <c r="C46" s="3112"/>
      <c r="D46" s="3112"/>
      <c r="E46" s="3112"/>
      <c r="F46" s="3112"/>
      <c r="G46" s="3113"/>
      <c r="H46" s="678"/>
      <c r="I46" s="678"/>
      <c r="J46" s="499">
        <v>1</v>
      </c>
      <c r="K46" s="3170" t="s">
        <v>1555</v>
      </c>
      <c r="L46" s="3170"/>
      <c r="M46" s="3190"/>
      <c r="N46" s="3190"/>
      <c r="O46" s="3190"/>
    </row>
    <row r="47" spans="1:15" ht="12" customHeight="1">
      <c r="A47" s="969" t="s">
        <v>1556</v>
      </c>
      <c r="B47" s="970"/>
      <c r="C47" s="971"/>
      <c r="D47" s="972" t="s">
        <v>1557</v>
      </c>
      <c r="E47" s="879" t="s">
        <v>1558</v>
      </c>
      <c r="F47" s="973" t="s">
        <v>1559</v>
      </c>
      <c r="G47" s="974" t="s">
        <v>1560</v>
      </c>
      <c r="H47" s="975"/>
      <c r="I47" s="678"/>
      <c r="J47" s="499">
        <v>2</v>
      </c>
      <c r="K47" s="3170" t="s">
        <v>1561</v>
      </c>
      <c r="L47" s="3170"/>
      <c r="M47" s="3191">
        <f>'数据-取费表'!B2</f>
        <v>44826</v>
      </c>
      <c r="N47" s="3191"/>
      <c r="O47" s="3191"/>
    </row>
    <row r="48" spans="1:15" ht="25.5">
      <c r="A48" s="3140" t="s">
        <v>1562</v>
      </c>
      <c r="B48" s="3124"/>
      <c r="C48" s="3124"/>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70" t="s">
        <v>1564</v>
      </c>
      <c r="L48" s="3170"/>
      <c r="M48" s="3191" t="e">
        <f ca="1">H101</f>
        <v>#REF!</v>
      </c>
      <c r="N48" s="3191"/>
      <c r="O48" s="3191"/>
    </row>
    <row r="49" spans="1:35" ht="25.5" customHeight="1">
      <c r="A49" s="981" t="s">
        <v>1565</v>
      </c>
      <c r="B49" s="3109" t="s">
        <v>1566</v>
      </c>
      <c r="C49" s="3109"/>
      <c r="D49" s="982">
        <v>0</v>
      </c>
      <c r="E49" s="983" t="s">
        <v>1567</v>
      </c>
      <c r="F49" s="984" t="s">
        <v>31</v>
      </c>
      <c r="G49" s="3176"/>
      <c r="H49" s="985" t="s">
        <v>2392</v>
      </c>
      <c r="I49" s="986"/>
      <c r="J49" s="499">
        <v>4</v>
      </c>
      <c r="K49" s="3170" t="str">
        <f>IF(项目基本情况!E8="房地产抵押价值","房地产抵押价值","抵押担保权已注销时的房地产抵押价值")</f>
        <v>抵押担保权已注销时的房地产抵押价值</v>
      </c>
      <c r="L49" s="3170"/>
      <c r="M49" s="3191" t="str">
        <f>IF(项目基本情况!E8="房地产抵押价值",H107,H109)</f>
        <v>——</v>
      </c>
      <c r="N49" s="3191"/>
      <c r="O49" s="3191"/>
    </row>
    <row r="50" spans="1:35" ht="25.5" customHeight="1">
      <c r="A50" s="987"/>
      <c r="B50" s="3109" t="s">
        <v>1568</v>
      </c>
      <c r="C50" s="3109"/>
      <c r="D50" s="988"/>
      <c r="E50" s="989"/>
      <c r="F50" s="984"/>
      <c r="G50" s="3177"/>
      <c r="H50" s="986" t="s">
        <v>2393</v>
      </c>
      <c r="I50" s="986"/>
      <c r="J50" s="3189" t="s">
        <v>1569</v>
      </c>
      <c r="K50" s="3189"/>
      <c r="L50" s="3189"/>
      <c r="M50" s="3189"/>
      <c r="N50" s="3189"/>
      <c r="O50" s="3189"/>
    </row>
    <row r="51" spans="1:35" ht="20.45" customHeight="1">
      <c r="A51" s="990"/>
      <c r="B51" s="3109" t="s">
        <v>1570</v>
      </c>
      <c r="C51" s="3109"/>
      <c r="D51" s="972"/>
      <c r="E51" s="991"/>
      <c r="F51" s="984"/>
      <c r="G51" s="3178"/>
      <c r="H51" s="986" t="s">
        <v>2394</v>
      </c>
      <c r="I51" s="986"/>
      <c r="J51" s="992" t="s">
        <v>1571</v>
      </c>
      <c r="K51" s="3170" t="s">
        <v>1572</v>
      </c>
      <c r="L51" s="3170"/>
      <c r="M51" s="992" t="s">
        <v>1573</v>
      </c>
      <c r="N51" s="992" t="s">
        <v>1574</v>
      </c>
      <c r="O51" s="992" t="s">
        <v>1575</v>
      </c>
    </row>
    <row r="52" spans="1:35" ht="24" customHeight="1">
      <c r="A52" s="993" t="s">
        <v>1576</v>
      </c>
      <c r="B52" s="3109" t="s">
        <v>1577</v>
      </c>
      <c r="C52" s="3109"/>
      <c r="D52" s="972" t="e">
        <f ca="1">ROUND(D45*'数据-取费表'!B41/(1+'数据-取费表'!C42),0)</f>
        <v>#REF!</v>
      </c>
      <c r="E52" s="977" t="s">
        <v>1578</v>
      </c>
      <c r="F52" s="879">
        <f>'数据-取费表'!B41</f>
        <v>0</v>
      </c>
      <c r="G52" s="974"/>
      <c r="H52" s="975"/>
      <c r="I52" s="678"/>
      <c r="J52" s="499">
        <v>1</v>
      </c>
      <c r="K52" s="3171" t="s">
        <v>1579</v>
      </c>
      <c r="L52" s="3171"/>
      <c r="M52" s="994" t="b">
        <f>D48</f>
        <v>0</v>
      </c>
      <c r="N52" s="499" t="str">
        <f>E48</f>
        <v>销售额×税（费）率</v>
      </c>
      <c r="O52" s="995">
        <f>F48</f>
        <v>0</v>
      </c>
    </row>
    <row r="53" spans="1:35" ht="12" customHeight="1">
      <c r="A53" s="993" t="s">
        <v>1580</v>
      </c>
      <c r="B53" s="3119" t="s">
        <v>2553</v>
      </c>
      <c r="C53" s="3134"/>
      <c r="D53" s="972" t="e">
        <f ca="1">ROUND(D45*'数据-取费表'!B41/(1+'数据-取费表'!C42),0)</f>
        <v>#REF!</v>
      </c>
      <c r="E53" s="977" t="s">
        <v>1578</v>
      </c>
      <c r="F53" s="879">
        <f>'数据-取费表'!B41</f>
        <v>0</v>
      </c>
      <c r="G53" s="974"/>
      <c r="H53" s="975"/>
      <c r="I53" s="678"/>
      <c r="J53" s="499">
        <v>2</v>
      </c>
      <c r="K53" s="3171" t="s">
        <v>1581</v>
      </c>
      <c r="L53" s="3171"/>
      <c r="M53" s="994" t="e">
        <f t="shared" ref="M53:O54" ca="1" si="0">D55</f>
        <v>#REF!</v>
      </c>
      <c r="N53" s="499" t="str">
        <f t="shared" si="0"/>
        <v>销售额×税（费）率</v>
      </c>
      <c r="O53" s="995" t="str">
        <f t="shared" si="0"/>
        <v>免征</v>
      </c>
    </row>
    <row r="54" spans="1:35" ht="12" customHeight="1">
      <c r="A54" s="993" t="s">
        <v>1582</v>
      </c>
      <c r="B54" s="3119" t="s">
        <v>2554</v>
      </c>
      <c r="C54" s="3134"/>
      <c r="D54" s="972" t="e">
        <f ca="1">C68</f>
        <v>#REF!</v>
      </c>
      <c r="E54" s="991" t="s">
        <v>1583</v>
      </c>
      <c r="F54" s="879">
        <f>'数据-取费表'!B41</f>
        <v>0</v>
      </c>
      <c r="G54" s="974"/>
      <c r="H54" s="996"/>
      <c r="I54" s="678"/>
      <c r="J54" s="499">
        <v>3</v>
      </c>
      <c r="K54" s="3171" t="s">
        <v>1584</v>
      </c>
      <c r="L54" s="3171"/>
      <c r="M54" s="994" t="e">
        <f t="shared" ca="1" si="0"/>
        <v>#REF!</v>
      </c>
      <c r="N54" s="499" t="str">
        <f t="shared" si="0"/>
        <v>增值额×税（费）率</v>
      </c>
      <c r="O54" s="995" t="str">
        <f t="shared" si="0"/>
        <v>免征</v>
      </c>
    </row>
    <row r="55" spans="1:35" ht="24" customHeight="1">
      <c r="A55" s="3123" t="s">
        <v>1585</v>
      </c>
      <c r="B55" s="3124"/>
      <c r="C55" s="3124"/>
      <c r="D55" s="976" t="e">
        <f ca="1">IF(H55="个人住宅",0,ROUND(D45*I55,0))</f>
        <v>#REF!</v>
      </c>
      <c r="E55" s="977" t="s">
        <v>1586</v>
      </c>
      <c r="F55" s="879" t="str">
        <f>IF(H55="正常",I55,"免征")</f>
        <v>免征</v>
      </c>
      <c r="G55" s="974"/>
      <c r="H55" s="980"/>
      <c r="I55" s="997">
        <f>'数据-取费表'!B49</f>
        <v>0</v>
      </c>
      <c r="J55" s="499">
        <f>IF(H59="非个人房产","",4)</f>
        <v>4</v>
      </c>
      <c r="K55" s="3171" t="str">
        <f>IF(H59="非个人房产","——","个人所得税")</f>
        <v>个人所得税</v>
      </c>
      <c r="L55" s="3171"/>
      <c r="M55" s="998" t="e">
        <f ca="1">D59</f>
        <v>#REF!</v>
      </c>
      <c r="N55" s="999" t="str">
        <f>E59</f>
        <v>差额计税</v>
      </c>
      <c r="O55" s="1000">
        <f>F59</f>
        <v>0.01</v>
      </c>
    </row>
    <row r="56" spans="1:35" ht="24.75">
      <c r="A56" s="3123" t="s">
        <v>1587</v>
      </c>
      <c r="B56" s="3124"/>
      <c r="C56" s="3124"/>
      <c r="D56" s="976" t="e">
        <f ca="1">IF(H56="个人住宅",D57,D58)</f>
        <v>#REF!</v>
      </c>
      <c r="E56" s="977" t="s">
        <v>1588</v>
      </c>
      <c r="F56" s="879" t="str">
        <f>IF(H56="正常",F58,"免征")</f>
        <v>免征</v>
      </c>
      <c r="G56" s="1001" t="s">
        <v>1589</v>
      </c>
      <c r="H56" s="1002"/>
      <c r="I56" s="1003"/>
      <c r="J56" s="499" t="str">
        <f>IF(项目基本情况!K6="上海银行",IF(J55="",4,J55+1),"")</f>
        <v/>
      </c>
      <c r="K56" s="3193" t="str">
        <f>IF(项目基本情况!K6="上海银行","其他处置费用","")</f>
        <v/>
      </c>
      <c r="L56" s="3194"/>
      <c r="M56" s="994" t="str">
        <f>IF(项目基本情况!K6="上海银行",M69,"")</f>
        <v/>
      </c>
      <c r="N56" s="3193" t="str">
        <f>IF(项目基本情况!K6="上海银行","包含处置中涉及的律师、诉讼、拍卖、评估等费用","")</f>
        <v/>
      </c>
      <c r="O56" s="3196"/>
    </row>
    <row r="57" spans="1:35" ht="12.75">
      <c r="A57" s="993" t="s">
        <v>1565</v>
      </c>
      <c r="B57" s="3119" t="s">
        <v>1590</v>
      </c>
      <c r="C57" s="3134"/>
      <c r="D57" s="982">
        <v>0</v>
      </c>
      <c r="E57" s="983" t="s">
        <v>1567</v>
      </c>
      <c r="F57" s="879"/>
      <c r="G57" s="974"/>
      <c r="H57" s="1004"/>
      <c r="I57" s="1003"/>
      <c r="J57" s="3171">
        <f>IF(AND(J55="",J56=""),4,IF(项目基本情况!K6="上海银行",结果表!J56+1,结果表!J55+1))</f>
        <v>5</v>
      </c>
      <c r="K57" s="3171" t="s">
        <v>1591</v>
      </c>
      <c r="L57" s="1005" t="s">
        <v>1592</v>
      </c>
      <c r="M57" s="1006"/>
      <c r="N57" s="1007">
        <f ca="1">SUMIF(M52:M56,"&lt;9e307")</f>
        <v>0</v>
      </c>
      <c r="O57" s="1008"/>
      <c r="P57" s="677" t="e">
        <f ca="1">N57/M49</f>
        <v>#VALUE!</v>
      </c>
    </row>
    <row r="58" spans="1:35" ht="24.75">
      <c r="A58" s="993" t="s">
        <v>1576</v>
      </c>
      <c r="B58" s="3119" t="s">
        <v>1593</v>
      </c>
      <c r="C58" s="3109"/>
      <c r="D58" s="976" t="e">
        <f ca="1">IF(H58="转让取得",C81,C97)</f>
        <v>#REF!</v>
      </c>
      <c r="E58" s="977" t="s">
        <v>1588</v>
      </c>
      <c r="F58" s="879" t="s">
        <v>31</v>
      </c>
      <c r="G58" s="974"/>
      <c r="H58" s="1002"/>
      <c r="I58" s="1003"/>
      <c r="J58" s="3171"/>
      <c r="K58" s="3171"/>
      <c r="L58" s="1005" t="s">
        <v>1594</v>
      </c>
      <c r="M58" s="1009"/>
      <c r="N58" s="1010" t="str">
        <f ca="1">NUMBERSTRING(INT(N57*10000),2)&amp;"元整"</f>
        <v>零元整</v>
      </c>
      <c r="O58" s="1011"/>
    </row>
    <row r="59" spans="1:35" ht="24.75" thickBot="1">
      <c r="A59" s="3174" t="s">
        <v>1595</v>
      </c>
      <c r="B59" s="3175"/>
      <c r="C59" s="3175"/>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72">
        <f>J57+1</f>
        <v>6</v>
      </c>
      <c r="K59" s="3171" t="s">
        <v>1596</v>
      </c>
      <c r="L59" s="499" t="s">
        <v>1592</v>
      </c>
      <c r="M59" s="1018"/>
      <c r="N59" s="1019" t="e">
        <f ca="1">M49-N57</f>
        <v>#VALUE!</v>
      </c>
      <c r="O59" s="1020"/>
    </row>
    <row r="60" spans="1:35" ht="12" customHeight="1">
      <c r="A60" s="1021"/>
      <c r="B60" s="865"/>
      <c r="C60" s="865"/>
      <c r="D60" s="865"/>
      <c r="E60" s="1022"/>
      <c r="F60" s="1003"/>
      <c r="G60" s="1003"/>
      <c r="H60" s="1023"/>
      <c r="I60" s="677"/>
      <c r="J60" s="3173"/>
      <c r="K60" s="3171"/>
      <c r="L60" s="1005" t="s">
        <v>1594</v>
      </c>
      <c r="M60" s="1009"/>
      <c r="N60" s="1010" t="e">
        <f ca="1">NUMBERSTRING(INT(N59*10000),2)&amp;"元整"</f>
        <v>#VALUE!</v>
      </c>
      <c r="O60" s="1011"/>
    </row>
    <row r="61" spans="1:35" ht="13.5" thickBot="1">
      <c r="A61" s="3121" t="s">
        <v>1597</v>
      </c>
      <c r="B61" s="3121"/>
      <c r="C61" s="3121"/>
      <c r="D61" s="3121"/>
      <c r="E61" s="3121"/>
      <c r="F61" s="1003"/>
      <c r="G61" s="1003"/>
      <c r="H61" s="1023"/>
      <c r="I61" s="677"/>
      <c r="J61" s="499">
        <f>J59+1</f>
        <v>7</v>
      </c>
      <c r="K61" s="3171" t="s">
        <v>1598</v>
      </c>
      <c r="L61" s="3171"/>
      <c r="M61" s="1024"/>
      <c r="N61" s="1025" t="e">
        <f ca="1">ROUND(N59*10000/'数据-汇总表'!E3,0)</f>
        <v>#VALUE!</v>
      </c>
      <c r="O61" s="1026"/>
    </row>
    <row r="62" spans="1:35" ht="12.75">
      <c r="A62" s="3138" t="s">
        <v>1599</v>
      </c>
      <c r="B62" s="3139"/>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95"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95"/>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95"/>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95"/>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95"/>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95"/>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95"/>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58" t="s">
        <v>1618</v>
      </c>
      <c r="B70" s="3159"/>
      <c r="C70" s="3159"/>
      <c r="D70" s="3159"/>
      <c r="E70" s="3159"/>
      <c r="F70" s="3159"/>
      <c r="G70" s="3159"/>
      <c r="H70" s="315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38" t="s">
        <v>1599</v>
      </c>
      <c r="B71" s="3139"/>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19" t="s">
        <v>1626</v>
      </c>
      <c r="F76" s="3109"/>
      <c r="G76" s="3109"/>
      <c r="H76" s="3128"/>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19" t="s">
        <v>1630</v>
      </c>
      <c r="F78" s="3109"/>
      <c r="G78" s="3109"/>
      <c r="H78" s="3128"/>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58" t="s">
        <v>1634</v>
      </c>
      <c r="B83" s="3159"/>
      <c r="C83" s="3159"/>
      <c r="D83" s="3159"/>
      <c r="E83" s="3159"/>
      <c r="F83" s="3159"/>
      <c r="G83" s="3159"/>
      <c r="H83" s="315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38" t="s">
        <v>1599</v>
      </c>
      <c r="B84" s="3139"/>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97" t="s">
        <v>2387</v>
      </c>
      <c r="H90" s="3124"/>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19" t="s">
        <v>1643</v>
      </c>
      <c r="F91" s="3109"/>
      <c r="G91" s="3109"/>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19" t="s">
        <v>1646</v>
      </c>
      <c r="F92" s="3109"/>
      <c r="G92" s="3109"/>
      <c r="H92" s="3128"/>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19" t="s">
        <v>1630</v>
      </c>
      <c r="F93" s="3109"/>
      <c r="G93" s="3109"/>
      <c r="H93" s="3128"/>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29" t="s">
        <v>1650</v>
      </c>
      <c r="F94" s="3130"/>
      <c r="G94" s="3130"/>
      <c r="H94" s="3131"/>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103" t="s">
        <v>1652</v>
      </c>
      <c r="B100" s="3104"/>
      <c r="C100" s="3104"/>
      <c r="D100" s="3120"/>
      <c r="E100" s="3104" t="s">
        <v>1653</v>
      </c>
      <c r="F100" s="3104"/>
      <c r="G100" s="3104"/>
      <c r="H100" s="3120"/>
      <c r="I100" s="677"/>
    </row>
    <row r="101" spans="1:35" ht="18.75" customHeight="1">
      <c r="A101" s="3179" t="s">
        <v>1654</v>
      </c>
      <c r="B101" s="3180"/>
      <c r="C101" s="1088">
        <f>C4</f>
        <v>0</v>
      </c>
      <c r="D101" s="1089">
        <f>D4</f>
        <v>0</v>
      </c>
      <c r="E101" s="3192" t="s">
        <v>1655</v>
      </c>
      <c r="F101" s="3151"/>
      <c r="G101" s="1090" t="s">
        <v>1656</v>
      </c>
      <c r="H101" s="1091" t="e">
        <f ca="1">H118</f>
        <v>#REF!</v>
      </c>
      <c r="I101" s="677"/>
    </row>
    <row r="102" spans="1:35" ht="18.75" customHeight="1">
      <c r="A102" s="3153" t="s">
        <v>1657</v>
      </c>
      <c r="B102" s="1092" t="s">
        <v>1656</v>
      </c>
      <c r="C102" s="1088" t="e">
        <f ca="1">C19</f>
        <v>#REF!</v>
      </c>
      <c r="D102" s="1089" t="e">
        <f ca="1">D19</f>
        <v>#REF!</v>
      </c>
      <c r="E102" s="3192"/>
      <c r="F102" s="3151"/>
      <c r="G102" s="1090" t="s">
        <v>1658</v>
      </c>
      <c r="H102" s="974" t="e">
        <f ca="1">I118</f>
        <v>#REF!</v>
      </c>
      <c r="I102" s="677"/>
    </row>
    <row r="103" spans="1:35" ht="42.75" customHeight="1">
      <c r="A103" s="3153"/>
      <c r="B103" s="1092" t="s">
        <v>1658</v>
      </c>
      <c r="C103" s="1093" t="e">
        <f ca="1">C20</f>
        <v>#REF!</v>
      </c>
      <c r="D103" s="1094" t="e">
        <f ca="1">D20</f>
        <v>#REF!</v>
      </c>
      <c r="E103" s="3187" t="s">
        <v>1659</v>
      </c>
      <c r="F103" s="3188"/>
      <c r="G103" s="1095" t="s">
        <v>1660</v>
      </c>
      <c r="H103" s="1091">
        <f>IF(D36="正常操作",H104+H105+H106,H105+H106)</f>
        <v>0</v>
      </c>
      <c r="I103" s="677"/>
    </row>
    <row r="104" spans="1:35" ht="18.75" customHeight="1">
      <c r="A104" s="3153"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54"/>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50" t="str">
        <f>IF(项目基本情况!E8="已注销","——","3.房地产抵押价值")</f>
        <v>3.房地产抵押价值</v>
      </c>
      <c r="F107" s="3151"/>
      <c r="G107" s="1090" t="s">
        <v>1656</v>
      </c>
      <c r="H107" s="1091" t="e">
        <f ca="1">IF(E107="——","——",H101-H103)</f>
        <v>#REF!</v>
      </c>
      <c r="I107" s="677"/>
    </row>
    <row r="108" spans="1:35" ht="18.75" customHeight="1">
      <c r="A108" s="677"/>
      <c r="B108" s="677"/>
      <c r="C108" s="677"/>
      <c r="D108" s="677"/>
      <c r="E108" s="3150"/>
      <c r="F108" s="3151"/>
      <c r="G108" s="1090" t="s">
        <v>1658</v>
      </c>
      <c r="H108" s="974" t="e">
        <f ca="1">ROUND(H107*10000/'数据-汇总表'!E3,0)</f>
        <v>#REF!</v>
      </c>
      <c r="I108" s="677"/>
    </row>
    <row r="109" spans="1:35" ht="18.75" customHeight="1">
      <c r="A109" s="677"/>
      <c r="B109" s="677"/>
      <c r="C109" s="677"/>
      <c r="D109" s="677"/>
      <c r="E109" s="3150" t="str">
        <f>IF(项目基本情况!E8="已注销及未注销","4.抵押担保权已注销时的房地产抵押价值",IF(项目基本情况!E8="已注销","3.抵押担保权已注销时的房地产抵押价值","——"))</f>
        <v>——</v>
      </c>
      <c r="F109" s="3151"/>
      <c r="G109" s="1090" t="s">
        <v>1656</v>
      </c>
      <c r="H109" s="1105" t="str">
        <f>IF(E109="——","——",H101-H105-H106)</f>
        <v>——</v>
      </c>
      <c r="I109" s="677"/>
    </row>
    <row r="110" spans="1:35" ht="18.75" customHeight="1">
      <c r="A110" s="677"/>
      <c r="B110" s="677"/>
      <c r="C110" s="677"/>
      <c r="D110" s="677"/>
      <c r="E110" s="3150"/>
      <c r="F110" s="3151"/>
      <c r="G110" s="1090" t="s">
        <v>1658</v>
      </c>
      <c r="H110" s="974" t="str">
        <f>IF(H109="——","——",ROUND(H109*10000/'数据-汇总表'!E3,0))</f>
        <v>——</v>
      </c>
      <c r="I110" s="677"/>
    </row>
    <row r="111" spans="1:35" ht="18.75" customHeight="1">
      <c r="A111" s="677"/>
      <c r="B111" s="677"/>
      <c r="C111" s="677"/>
      <c r="D111" s="677"/>
      <c r="E111" s="3181" t="str">
        <f>IF(项目基本情况!E9="抵押净值",IF(OR(项目基本情况!E8="已注销",项目基本情况!E8="房地产抵押价值"),"4.抵押净值","5.抵押净值"),"——")</f>
        <v>——</v>
      </c>
      <c r="F111" s="3152"/>
      <c r="G111" s="1090" t="s">
        <v>1656</v>
      </c>
      <c r="H111" s="1091" t="str">
        <f>IF(E111="——","——",N59)</f>
        <v>——</v>
      </c>
      <c r="I111" s="677"/>
    </row>
    <row r="112" spans="1:35" ht="18.75" customHeight="1" thickBot="1">
      <c r="A112" s="677"/>
      <c r="B112" s="677"/>
      <c r="C112" s="677"/>
      <c r="D112" s="677"/>
      <c r="E112" s="3182"/>
      <c r="F112" s="3183"/>
      <c r="G112" s="1106" t="s">
        <v>1658</v>
      </c>
      <c r="H112" s="1107" t="str">
        <f>IF(E111="——","——",N61)</f>
        <v>——</v>
      </c>
      <c r="I112" s="677"/>
    </row>
    <row r="113" spans="1:27" ht="18.75" customHeight="1">
      <c r="A113" s="677"/>
      <c r="B113" s="677"/>
      <c r="C113" s="677"/>
      <c r="D113" s="677"/>
      <c r="E113" s="3155" t="s">
        <v>1664</v>
      </c>
      <c r="F113" s="3155"/>
      <c r="G113" s="3155"/>
      <c r="H113" s="3155"/>
      <c r="I113" s="677"/>
    </row>
    <row r="114" spans="1:27" ht="3.75" customHeight="1">
      <c r="A114" s="865"/>
      <c r="B114" s="865"/>
      <c r="C114" s="865"/>
      <c r="D114" s="865"/>
      <c r="E114" s="1021"/>
      <c r="F114" s="1021"/>
      <c r="G114" s="1021"/>
      <c r="H114" s="1021"/>
      <c r="I114" s="865"/>
    </row>
    <row r="115" spans="1:27" ht="18.75" customHeight="1">
      <c r="A115" s="3164" t="s">
        <v>1666</v>
      </c>
      <c r="B115" s="3165"/>
      <c r="C115" s="3165"/>
      <c r="D115" s="3165"/>
      <c r="E115" s="3165"/>
      <c r="F115" s="3165"/>
      <c r="G115" s="3165"/>
      <c r="H115" s="3165"/>
      <c r="I115" s="3166"/>
    </row>
    <row r="116" spans="1:27" ht="27" customHeight="1">
      <c r="A116" s="3122" t="s">
        <v>1667</v>
      </c>
      <c r="B116" s="3156" t="s">
        <v>1668</v>
      </c>
      <c r="C116" s="3156" t="s">
        <v>1669</v>
      </c>
      <c r="D116" s="3168" t="s">
        <v>1670</v>
      </c>
      <c r="E116" s="3169"/>
      <c r="F116" s="3163" t="s">
        <v>1671</v>
      </c>
      <c r="G116" s="3163"/>
      <c r="H116" s="3122" t="s">
        <v>1672</v>
      </c>
      <c r="I116" s="3122"/>
    </row>
    <row r="117" spans="1:27" ht="18.75" customHeight="1">
      <c r="A117" s="3122"/>
      <c r="B117" s="3157"/>
      <c r="C117" s="315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84272.48</v>
      </c>
      <c r="C118" s="1108">
        <f>M19</f>
        <v>52670.3</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22" t="s">
        <v>1676</v>
      </c>
      <c r="B119" s="3122"/>
      <c r="C119" s="3122"/>
      <c r="D119" s="3160" t="e">
        <f ca="1">NUMBERSTRING(INT(D118*10000),2)&amp;"元整"</f>
        <v>#REF!</v>
      </c>
      <c r="E119" s="3162"/>
      <c r="F119" s="3160" t="e">
        <f ca="1">NUMBERSTRING(INT(F118*10000),2)&amp;"元整"</f>
        <v>#REF!</v>
      </c>
      <c r="G119" s="3162"/>
      <c r="H119" s="3160" t="e">
        <f ca="1">NUMBERSTRING(INT(H118*10000),2)&amp;"元整"</f>
        <v>#REF!</v>
      </c>
      <c r="I119" s="3162"/>
    </row>
    <row r="120" spans="1:27" ht="18.75" customHeight="1">
      <c r="A120" s="3184" t="str">
        <f>IF(项目基本情况!B9="房地产市场价值","",MID(E103,3,LEN(E103)-2))</f>
        <v>估价师知悉的法定优先受偿款</v>
      </c>
      <c r="B120" s="3185"/>
      <c r="C120" s="3186"/>
      <c r="D120" s="3184">
        <f>H103</f>
        <v>0</v>
      </c>
      <c r="E120" s="3185"/>
      <c r="F120" s="3185"/>
      <c r="G120" s="3185"/>
      <c r="H120" s="3185"/>
      <c r="I120" s="318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60" t="s">
        <v>1676</v>
      </c>
      <c r="B121" s="3161"/>
      <c r="C121" s="3162"/>
      <c r="D121" s="3160" t="str">
        <f>IF(D120=0,"零元整",NUMBERSTRING(INT(D120*10000),2)&amp;"元整")</f>
        <v>零元整</v>
      </c>
      <c r="E121" s="3161"/>
      <c r="F121" s="3161"/>
      <c r="G121" s="3161"/>
      <c r="H121" s="3161"/>
      <c r="I121" s="3162"/>
      <c r="AA121" s="590"/>
    </row>
    <row r="122" spans="1:27" ht="18.75" customHeight="1">
      <c r="A122" s="3152" t="str">
        <f>IF(项目基本情况!B9="房地产市场价值","",MID(E107,3,LEN(E107)-2))</f>
        <v>房地产抵押价值</v>
      </c>
      <c r="B122" s="3152"/>
      <c r="C122" s="3152"/>
      <c r="D122" s="3184" t="e">
        <f ca="1">H107</f>
        <v>#REF!</v>
      </c>
      <c r="E122" s="3185"/>
      <c r="F122" s="3185"/>
      <c r="G122" s="3185"/>
      <c r="H122" s="3185"/>
      <c r="I122" s="3186"/>
      <c r="AA122" s="590"/>
    </row>
    <row r="123" spans="1:27" ht="18.75" customHeight="1">
      <c r="A123" s="3122" t="s">
        <v>1676</v>
      </c>
      <c r="B123" s="3122"/>
      <c r="C123" s="3122"/>
      <c r="D123" s="3160" t="e">
        <f ca="1">NUMBERSTRING(INT(D122*10000),2)&amp;"元整"</f>
        <v>#REF!</v>
      </c>
      <c r="E123" s="3161"/>
      <c r="F123" s="3161"/>
      <c r="G123" s="3161"/>
      <c r="H123" s="3161"/>
      <c r="I123" s="3162"/>
      <c r="AA123" s="590"/>
    </row>
    <row r="124" spans="1:27" ht="18.75" customHeight="1">
      <c r="A124" s="3152" t="str">
        <f>IF(项目基本情况!B9="房地产市场价值","",MID(E109,3,LEN(E109)-2))</f>
        <v/>
      </c>
      <c r="B124" s="3152"/>
      <c r="C124" s="3152"/>
      <c r="D124" s="3184" t="str">
        <f>H109</f>
        <v>——</v>
      </c>
      <c r="E124" s="3185"/>
      <c r="F124" s="3185"/>
      <c r="G124" s="3185"/>
      <c r="H124" s="3185"/>
      <c r="I124" s="3186"/>
      <c r="AA124" s="590"/>
    </row>
    <row r="125" spans="1:27" ht="18.75" customHeight="1">
      <c r="A125" s="3122" t="s">
        <v>1676</v>
      </c>
      <c r="B125" s="3122"/>
      <c r="C125" s="3122"/>
      <c r="D125" s="3160" t="e">
        <f>NUMBERSTRING(INT(D124*10000),2)&amp;"元整"</f>
        <v>#VALUE!</v>
      </c>
      <c r="E125" s="3161"/>
      <c r="F125" s="3161"/>
      <c r="G125" s="3161"/>
      <c r="H125" s="3161"/>
      <c r="I125" s="3162"/>
      <c r="AA125" s="590"/>
    </row>
    <row r="126" spans="1:27" ht="18.75" customHeight="1">
      <c r="A126" s="3152" t="str">
        <f>IF(项目基本情况!B9="房地产市场价值","",MID(E111,3,LEN(E111)-2))</f>
        <v/>
      </c>
      <c r="B126" s="3152"/>
      <c r="C126" s="3152"/>
      <c r="D126" s="3184" t="str">
        <f>H111</f>
        <v>——</v>
      </c>
      <c r="E126" s="3185"/>
      <c r="F126" s="3185"/>
      <c r="G126" s="3185"/>
      <c r="H126" s="3185"/>
      <c r="I126" s="3186"/>
      <c r="AA126" s="590"/>
    </row>
    <row r="127" spans="1:27" ht="18.75" customHeight="1">
      <c r="A127" s="3122" t="s">
        <v>1676</v>
      </c>
      <c r="B127" s="3122"/>
      <c r="C127" s="3122"/>
      <c r="D127" s="3160" t="e">
        <f>NUMBERSTRING(INT(D126*10000),2)&amp;"元整"</f>
        <v>#VALUE!</v>
      </c>
      <c r="E127" s="3161"/>
      <c r="F127" s="3161"/>
      <c r="G127" s="3161"/>
      <c r="H127" s="3161"/>
      <c r="I127" s="3162"/>
      <c r="AA127" s="590"/>
    </row>
    <row r="128" spans="1:27" ht="21.75" customHeight="1">
      <c r="A128" s="3167" t="s">
        <v>1677</v>
      </c>
      <c r="B128" s="3167"/>
      <c r="C128" s="3167"/>
      <c r="D128" s="3167"/>
      <c r="E128" s="3167"/>
      <c r="F128" s="3167"/>
      <c r="G128" s="3167"/>
      <c r="H128" s="3167"/>
      <c r="I128" s="3167"/>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84272.48</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84272.48</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84272.48</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98" t="s">
        <v>1768</v>
      </c>
    </row>
    <row r="43" spans="1:7" ht="13.5" customHeight="1">
      <c r="A43" s="1179" t="s">
        <v>555</v>
      </c>
      <c r="B43" s="1155" t="s">
        <v>1769</v>
      </c>
      <c r="C43" s="1180" t="e">
        <f ca="1">ROUND(IF('数据-取费表'!B22&lt;=1,C39*F22*'数据-取费表'!B21/2,C39*(POWER((1+F22),'数据-取费表'!B21/2)-1)),0)</f>
        <v>#VALUE!</v>
      </c>
      <c r="D43" s="1180"/>
      <c r="E43" s="1180"/>
      <c r="F43" s="1181"/>
      <c r="G43" s="3199"/>
    </row>
    <row r="44" spans="1:7" ht="13.5" customHeight="1">
      <c r="A44" s="1179" t="s">
        <v>556</v>
      </c>
      <c r="B44" s="1155" t="s">
        <v>1770</v>
      </c>
      <c r="C44" s="1180" t="e">
        <f ca="1">ROUND(IF('数据-取费表'!B22&lt;=1,C40*F22*'数据-取费表'!B21/2,C40*(POWER((1+F22),'数据-取费表'!B21/2)-1)),4)</f>
        <v>#VALUE!</v>
      </c>
      <c r="D44" s="1180"/>
      <c r="E44" s="1180"/>
      <c r="F44" s="1181"/>
      <c r="G44" s="320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22" t="str">
        <f>项目基本情况!B1</f>
        <v>北京市预评估</v>
      </c>
      <c r="C37" s="3022"/>
      <c r="D37" s="3022"/>
      <c r="E37" s="3022"/>
      <c r="F37" s="3022"/>
      <c r="G37" s="3022"/>
      <c r="H37" s="3022"/>
      <c r="I37" s="302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84272.48</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84272.48</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84272.48</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98" t="s">
        <v>1815</v>
      </c>
    </row>
    <row r="43" spans="1:7" ht="13.5" customHeight="1">
      <c r="A43" s="1179" t="s">
        <v>555</v>
      </c>
      <c r="B43" s="1155" t="s">
        <v>1769</v>
      </c>
      <c r="C43" s="1180" t="e">
        <f ca="1">ROUND(IF('数据-取费表'!B22&lt;=1,C39*F22*'数据-取费表'!B20/2,C39*(POWER((1+F22),'数据-取费表'!B20/2)-1)),0)</f>
        <v>#VALUE!</v>
      </c>
      <c r="D43" s="1180"/>
      <c r="E43" s="1180"/>
      <c r="F43" s="1181"/>
      <c r="G43" s="3199"/>
    </row>
    <row r="44" spans="1:7" ht="13.5" customHeight="1">
      <c r="A44" s="1179" t="s">
        <v>556</v>
      </c>
      <c r="B44" s="1155" t="s">
        <v>1770</v>
      </c>
      <c r="C44" s="1180" t="e">
        <f ca="1">ROUND(IF('数据-取费表'!B22&lt;=1,C40*F22*'数据-取费表'!B20/2,C40*(POWER((1+F22),'数据-取费表'!B20/2)-1)),4)</f>
        <v>#VALUE!</v>
      </c>
      <c r="D44" s="1180"/>
      <c r="E44" s="1180"/>
      <c r="F44" s="1181"/>
      <c r="G44" s="320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84272.48</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84272.48</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84272.48</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203" t="s">
        <v>907</v>
      </c>
      <c r="C6" s="1329">
        <f ca="1">ROUND(F6*F8*F7*(1-F9)/10000,0)</f>
        <v>0</v>
      </c>
      <c r="D6" s="965" t="s">
        <v>2367</v>
      </c>
      <c r="E6" s="879" t="s">
        <v>909</v>
      </c>
      <c r="F6" s="1330">
        <f ca="1">INDIRECT("'数据-取费表'!u"&amp;$G$1)</f>
        <v>0</v>
      </c>
      <c r="G6" s="1312"/>
      <c r="H6" s="1328" t="s">
        <v>615</v>
      </c>
      <c r="I6" s="3203" t="s">
        <v>907</v>
      </c>
      <c r="J6" s="1331">
        <f ca="1">ROUND(M6*M8*M7*(1-M9)/10000,0)</f>
        <v>0</v>
      </c>
      <c r="K6" s="965" t="s">
        <v>2366</v>
      </c>
      <c r="L6" s="879" t="s">
        <v>909</v>
      </c>
      <c r="M6" s="1330">
        <f ca="1">INDIRECT("'数据-取费表'!z"&amp;$G$1)</f>
        <v>0</v>
      </c>
    </row>
    <row r="7" spans="1:37" ht="18" customHeight="1">
      <c r="A7" s="984"/>
      <c r="B7" s="3204"/>
      <c r="C7" s="1332"/>
      <c r="D7" s="1333"/>
      <c r="E7" s="1334" t="s">
        <v>910</v>
      </c>
      <c r="F7" s="1330">
        <f ca="1">IF(INDIRECT("'数据-取费表'!ah"&amp;$G$1)="",INDIRECT("'数据-取费表'!k"&amp;$G$1),INDIRECT("'数据-取费表'!ah"&amp;$G$1))</f>
        <v>0</v>
      </c>
      <c r="G7" s="1312"/>
      <c r="H7" s="1335"/>
      <c r="I7" s="3204"/>
      <c r="J7" s="1336"/>
      <c r="K7" s="1333"/>
      <c r="L7" s="879" t="s">
        <v>910</v>
      </c>
      <c r="M7" s="1330">
        <f ca="1">F7</f>
        <v>0</v>
      </c>
    </row>
    <row r="8" spans="1:37" ht="18" customHeight="1">
      <c r="A8" s="1335"/>
      <c r="B8" s="3204"/>
      <c r="C8" s="1336"/>
      <c r="D8" s="1333"/>
      <c r="E8" s="879" t="s">
        <v>911</v>
      </c>
      <c r="F8" s="1330">
        <f ca="1">INDIRECT("'数据-取费表'!ai"&amp;$G$1)</f>
        <v>0</v>
      </c>
      <c r="G8" s="1312"/>
      <c r="H8" s="1335"/>
      <c r="I8" s="3204"/>
      <c r="J8" s="1336"/>
      <c r="K8" s="1333"/>
      <c r="L8" s="879" t="s">
        <v>911</v>
      </c>
      <c r="M8" s="1330">
        <f ca="1">INDIRECT("'数据-取费表'!ai"&amp;$G$1)</f>
        <v>0</v>
      </c>
    </row>
    <row r="9" spans="1:37" ht="18" customHeight="1">
      <c r="A9" s="1335"/>
      <c r="B9" s="3205"/>
      <c r="C9" s="1336"/>
      <c r="D9" s="1333"/>
      <c r="E9" s="879" t="s">
        <v>912</v>
      </c>
      <c r="F9" s="1330">
        <f ca="1">INDIRECT("'数据-取费表'!w"&amp;$G$1)</f>
        <v>0</v>
      </c>
      <c r="G9" s="1312"/>
      <c r="H9" s="1335"/>
      <c r="I9" s="320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40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40</v>
      </c>
      <c r="O48" s="1436" t="s">
        <v>621</v>
      </c>
      <c r="P48" s="1437" t="s">
        <v>1036</v>
      </c>
      <c r="Q48" s="1438" t="str">
        <f ca="1">J60</f>
        <v>0</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#VALUE!</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201" t="s">
        <v>1052</v>
      </c>
      <c r="L53" s="3202"/>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#VALUE!</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40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t="str">
        <f ca="1">IF(OR(M47="住宅",J51&lt;L48,J56="是"),"——",J51-L48)</f>
        <v>——</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#VALUE!</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str">
        <f ca="1">IF(OR(M47="住宅",J51&lt;L48,J56="是"),"——",ROUND(C29*J58,0))</f>
        <v>——</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str">
        <f ca="1">IF(OR(M47="住宅",J51&lt;L48,J56="是"),"0",ROUND(J59/(1+J52)^J53,0))</f>
        <v>0</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203" t="s">
        <v>907</v>
      </c>
      <c r="C6" s="1329">
        <f ca="1">ROUND(F6*F8*F7*(1-F9),0)</f>
        <v>0</v>
      </c>
      <c r="D6" s="965" t="s">
        <v>2364</v>
      </c>
      <c r="E6" s="879" t="s">
        <v>909</v>
      </c>
      <c r="F6" s="1330">
        <f ca="1">INDIRECT("'数据-取费表'!u"&amp;$G$1)</f>
        <v>0</v>
      </c>
      <c r="G6" s="1312"/>
      <c r="H6" s="1328" t="s">
        <v>615</v>
      </c>
      <c r="I6" s="3203" t="s">
        <v>907</v>
      </c>
      <c r="J6" s="1331">
        <f ca="1">ROUND(M6*M8*M7*(1-M9),0)</f>
        <v>0</v>
      </c>
      <c r="K6" s="1538" t="s">
        <v>2365</v>
      </c>
      <c r="L6" s="879" t="s">
        <v>909</v>
      </c>
      <c r="M6" s="1330">
        <f ca="1">INDIRECT("'数据-取费表'!z"&amp;$G$1)</f>
        <v>0</v>
      </c>
    </row>
    <row r="7" spans="1:37" ht="18" customHeight="1">
      <c r="A7" s="984"/>
      <c r="B7" s="3204"/>
      <c r="C7" s="1332"/>
      <c r="D7" s="1333"/>
      <c r="E7" s="1334" t="s">
        <v>910</v>
      </c>
      <c r="F7" s="1330">
        <f ca="1">IF(INDIRECT("'数据-取费表'!ah"&amp;$G$1)="",INDIRECT("'数据-取费表'!k"&amp;$G$1),INDIRECT("'数据-取费表'!ah"&amp;$G$1))</f>
        <v>0</v>
      </c>
      <c r="G7" s="1312"/>
      <c r="H7" s="1335"/>
      <c r="I7" s="3204"/>
      <c r="J7" s="1336"/>
      <c r="K7" s="1333"/>
      <c r="L7" s="879" t="s">
        <v>910</v>
      </c>
      <c r="M7" s="1330">
        <f ca="1">F7</f>
        <v>0</v>
      </c>
    </row>
    <row r="8" spans="1:37" ht="18" customHeight="1">
      <c r="A8" s="1335"/>
      <c r="B8" s="3204"/>
      <c r="C8" s="1336"/>
      <c r="D8" s="1333"/>
      <c r="E8" s="879" t="s">
        <v>911</v>
      </c>
      <c r="F8" s="1330">
        <f ca="1">INDIRECT("'数据-取费表'!ai"&amp;$G$1)</f>
        <v>0</v>
      </c>
      <c r="G8" s="1312"/>
      <c r="H8" s="1335"/>
      <c r="I8" s="3204"/>
      <c r="J8" s="1336"/>
      <c r="K8" s="1333"/>
      <c r="L8" s="879" t="s">
        <v>911</v>
      </c>
      <c r="M8" s="1330">
        <f ca="1">INDIRECT("'数据-取费表'!ai"&amp;$G$1)</f>
        <v>0</v>
      </c>
    </row>
    <row r="9" spans="1:37" ht="18" customHeight="1">
      <c r="A9" s="1335"/>
      <c r="B9" s="3205"/>
      <c r="C9" s="1336"/>
      <c r="D9" s="1333"/>
      <c r="E9" s="879" t="s">
        <v>912</v>
      </c>
      <c r="F9" s="1330">
        <f ca="1">INDIRECT("'数据-取费表'!w"&amp;$G$1)</f>
        <v>0</v>
      </c>
      <c r="G9" s="1312"/>
      <c r="H9" s="1335"/>
      <c r="I9" s="320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40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40</v>
      </c>
      <c r="O48" s="1436" t="s">
        <v>621</v>
      </c>
      <c r="P48" s="1437" t="s">
        <v>1036</v>
      </c>
      <c r="Q48" s="1438" t="str">
        <f ca="1">J60</f>
        <v>0</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#VALUE!</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201" t="s">
        <v>1052</v>
      </c>
      <c r="L53" s="3202"/>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#VALUE!</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40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t="str">
        <f ca="1">IF(OR(M47="住宅",J51&lt;L48,J56="是"),"——",J51-L48)</f>
        <v>——</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#VALUE!</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str">
        <f ca="1">IF(OR(M47="住宅",J51&lt;L48,J56="是"),"——",ROUND(C29*J58,0))</f>
        <v>——</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str">
        <f ca="1">IF(OR(M47="住宅",J51&lt;L48,J56="是"),"0",ROUND(J59/(1+J52)^J53,0))</f>
        <v>0</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212" t="s">
        <v>2583</v>
      </c>
      <c r="K2" s="3213"/>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214" t="s">
        <v>2593</v>
      </c>
      <c r="K3" s="3215"/>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214" t="s">
        <v>2595</v>
      </c>
      <c r="K4" s="3215"/>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220" t="s">
        <v>2599</v>
      </c>
      <c r="B6" s="3221"/>
      <c r="C6" s="3222"/>
      <c r="D6" s="1582"/>
      <c r="E6" s="1583"/>
      <c r="F6" s="1584"/>
      <c r="G6" s="1585"/>
      <c r="H6" s="1560"/>
      <c r="I6" s="1561"/>
      <c r="J6" s="3206">
        <v>1</v>
      </c>
      <c r="K6" s="3207"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206"/>
      <c r="K7" s="3208"/>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223" t="s">
        <v>2613</v>
      </c>
      <c r="C8" s="3224"/>
      <c r="D8" s="1598" t="s">
        <v>2614</v>
      </c>
      <c r="E8" s="1598" t="s">
        <v>2615</v>
      </c>
      <c r="F8" s="1599" t="s">
        <v>2616</v>
      </c>
      <c r="G8" s="1593"/>
      <c r="H8" s="1560"/>
      <c r="I8" s="1561"/>
      <c r="J8" s="3206"/>
      <c r="K8" s="3208"/>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223" t="s">
        <v>2619</v>
      </c>
      <c r="C9" s="3224"/>
      <c r="D9" s="1598">
        <f>ROUND(D6*E9,0)</f>
        <v>0</v>
      </c>
      <c r="E9" s="1562"/>
      <c r="F9" s="1600" t="s">
        <v>2620</v>
      </c>
      <c r="G9" s="1585"/>
      <c r="H9" s="1560"/>
      <c r="I9" s="1561"/>
      <c r="J9" s="3206"/>
      <c r="K9" s="3208"/>
      <c r="L9" s="1594" t="s">
        <v>2621</v>
      </c>
      <c r="M9" s="1595"/>
      <c r="N9" s="1572"/>
      <c r="O9" s="1572"/>
      <c r="P9" s="1572"/>
      <c r="Q9" s="1572">
        <v>365</v>
      </c>
      <c r="R9" s="1596">
        <f t="shared" si="0"/>
        <v>0</v>
      </c>
      <c r="S9" s="1554"/>
      <c r="T9" s="1554"/>
      <c r="U9" s="1554"/>
      <c r="V9" s="1561"/>
    </row>
    <row r="10" spans="1:22" s="1565" customFormat="1" ht="13.15" customHeight="1">
      <c r="A10" s="1597">
        <v>2</v>
      </c>
      <c r="B10" s="3223" t="s">
        <v>2622</v>
      </c>
      <c r="C10" s="3224"/>
      <c r="D10" s="1598">
        <f>ROUND(D6*E10,0)</f>
        <v>0</v>
      </c>
      <c r="E10" s="1562"/>
      <c r="F10" s="1600" t="s">
        <v>2623</v>
      </c>
      <c r="G10" s="1585"/>
      <c r="H10" s="1560"/>
      <c r="I10" s="1561"/>
      <c r="J10" s="3206"/>
      <c r="K10" s="3208"/>
      <c r="L10" s="1594" t="s">
        <v>2624</v>
      </c>
      <c r="M10" s="1595"/>
      <c r="N10" s="1572"/>
      <c r="O10" s="1572"/>
      <c r="P10" s="1572"/>
      <c r="Q10" s="1572">
        <v>365</v>
      </c>
      <c r="R10" s="1596">
        <f t="shared" si="0"/>
        <v>0</v>
      </c>
      <c r="S10" s="1554"/>
      <c r="T10" s="1554"/>
      <c r="U10" s="1554"/>
      <c r="V10" s="1561"/>
    </row>
    <row r="11" spans="1:22" s="1565" customFormat="1" ht="13.15" customHeight="1">
      <c r="A11" s="1597">
        <v>3</v>
      </c>
      <c r="B11" s="3223" t="s">
        <v>2625</v>
      </c>
      <c r="C11" s="3224"/>
      <c r="D11" s="1598">
        <f>D12+D14+D15+D16</f>
        <v>0</v>
      </c>
      <c r="E11" s="1598" t="e">
        <f>D11/D6</f>
        <v>#DIV/0!</v>
      </c>
      <c r="F11" s="1599"/>
      <c r="G11" s="1593"/>
      <c r="H11" s="1560"/>
      <c r="I11" s="1561"/>
      <c r="J11" s="3206"/>
      <c r="K11" s="3208"/>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216" t="s">
        <v>2628</v>
      </c>
      <c r="C12" s="3217"/>
      <c r="D12" s="1602">
        <f>ROUND(D13*1.2%*(1-30%),0)</f>
        <v>0</v>
      </c>
      <c r="E12" s="1602">
        <v>1.2E-2</v>
      </c>
      <c r="F12" s="1599" t="s">
        <v>2629</v>
      </c>
      <c r="G12" s="1593"/>
      <c r="H12" s="1560"/>
      <c r="I12" s="1561"/>
      <c r="J12" s="3206"/>
      <c r="K12" s="3208"/>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206"/>
      <c r="K13" s="3208"/>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216" t="s">
        <v>2634</v>
      </c>
      <c r="C14" s="3217"/>
      <c r="D14" s="1602">
        <f>ROUND(E14*B5/10000,0)</f>
        <v>0</v>
      </c>
      <c r="E14" s="1572"/>
      <c r="F14" s="1599" t="s">
        <v>2635</v>
      </c>
      <c r="G14" s="1593"/>
      <c r="H14" s="1560"/>
      <c r="I14" s="1561"/>
      <c r="J14" s="3206"/>
      <c r="K14" s="3209"/>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216" t="s">
        <v>2638</v>
      </c>
      <c r="C15" s="3217"/>
      <c r="D15" s="1602">
        <f>ROUND(D6*E15,0)</f>
        <v>0</v>
      </c>
      <c r="E15" s="1602">
        <v>5.5E-2</v>
      </c>
      <c r="F15" s="1599" t="s">
        <v>2639</v>
      </c>
      <c r="G15" s="1585"/>
      <c r="H15" s="1560"/>
      <c r="I15" s="1561"/>
      <c r="J15" s="3206">
        <v>2</v>
      </c>
      <c r="K15" s="3207"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216" t="s">
        <v>2647</v>
      </c>
      <c r="C16" s="3217"/>
      <c r="D16" s="1572">
        <f>D6*E16</f>
        <v>0</v>
      </c>
      <c r="E16" s="1572"/>
      <c r="F16" s="1600" t="s">
        <v>2648</v>
      </c>
      <c r="G16" s="1585"/>
      <c r="H16" s="1560"/>
      <c r="I16" s="1561"/>
      <c r="J16" s="3206"/>
      <c r="K16" s="3208"/>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218" t="s">
        <v>2650</v>
      </c>
      <c r="C17" s="3219"/>
      <c r="D17" s="1610">
        <f>ROUND(D6*E17,0)</f>
        <v>0</v>
      </c>
      <c r="E17" s="1611"/>
      <c r="F17" s="1612" t="s">
        <v>2651</v>
      </c>
      <c r="G17" s="1585"/>
      <c r="H17" s="1560"/>
      <c r="I17" s="1561"/>
      <c r="J17" s="3206"/>
      <c r="K17" s="3208"/>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206"/>
      <c r="K18" s="3208"/>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206"/>
      <c r="K19" s="3209"/>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206">
        <v>3</v>
      </c>
      <c r="K20" s="3207"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206"/>
      <c r="K21" s="3208"/>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206"/>
      <c r="K22" s="3208"/>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206"/>
      <c r="K23" s="3208"/>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206"/>
      <c r="K24" s="3209"/>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210">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211"/>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212" t="s">
        <v>2583</v>
      </c>
      <c r="K32" s="3213"/>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214" t="s">
        <v>2593</v>
      </c>
      <c r="K33" s="3215"/>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214" t="s">
        <v>2595</v>
      </c>
      <c r="K34" s="3215"/>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206">
        <v>1</v>
      </c>
      <c r="K36" s="3207"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206"/>
      <c r="K37" s="3208"/>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206"/>
      <c r="K38" s="3208"/>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206"/>
      <c r="K39" s="3208"/>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206"/>
      <c r="K40" s="3209"/>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210">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211"/>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25" t="s">
        <v>1881</v>
      </c>
      <c r="C5" s="3226"/>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84272.48</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45" t="s">
        <v>1895</v>
      </c>
      <c r="D4" s="3246"/>
      <c r="E4" s="3247" t="s">
        <v>1896</v>
      </c>
      <c r="F4" s="3248"/>
      <c r="G4" s="3245" t="s">
        <v>1897</v>
      </c>
      <c r="H4" s="3246"/>
      <c r="I4" s="3245" t="s">
        <v>1898</v>
      </c>
      <c r="J4" s="3246"/>
      <c r="K4" s="1740" t="s">
        <v>1899</v>
      </c>
      <c r="L4" s="1741"/>
      <c r="M4" s="1742"/>
      <c r="N4" s="1742"/>
      <c r="O4" s="1742"/>
      <c r="P4" s="3249" t="s">
        <v>1900</v>
      </c>
      <c r="Q4" s="3250"/>
      <c r="R4" s="3255" t="s">
        <v>1896</v>
      </c>
      <c r="S4" s="3256"/>
      <c r="T4" s="3255" t="s">
        <v>1897</v>
      </c>
      <c r="U4" s="3256"/>
      <c r="V4" s="3231" t="s">
        <v>1898</v>
      </c>
      <c r="W4" s="3231"/>
      <c r="X4" s="1743"/>
      <c r="Y4" s="3255" t="s">
        <v>1900</v>
      </c>
      <c r="Z4" s="3256"/>
      <c r="AA4" s="3242" t="s">
        <v>1896</v>
      </c>
      <c r="AB4" s="3242" t="s">
        <v>1897</v>
      </c>
      <c r="AC4" s="3242" t="s">
        <v>1898</v>
      </c>
    </row>
    <row r="5" spans="1:29" ht="15">
      <c r="A5" s="1745"/>
      <c r="B5" s="1746"/>
      <c r="C5" s="3263" t="s">
        <v>1901</v>
      </c>
      <c r="D5" s="3264"/>
      <c r="E5" s="3270" t="s">
        <v>1902</v>
      </c>
      <c r="F5" s="3271"/>
      <c r="G5" s="3263" t="s">
        <v>1903</v>
      </c>
      <c r="H5" s="3264"/>
      <c r="I5" s="3263" t="s">
        <v>1904</v>
      </c>
      <c r="J5" s="3264"/>
      <c r="K5" s="1747"/>
      <c r="L5" s="1741"/>
      <c r="M5" s="1742"/>
      <c r="N5" s="1742"/>
      <c r="O5" s="1742"/>
      <c r="P5" s="3251"/>
      <c r="Q5" s="3252"/>
      <c r="R5" s="3257"/>
      <c r="S5" s="3258"/>
      <c r="T5" s="3257"/>
      <c r="U5" s="3258"/>
      <c r="V5" s="3231"/>
      <c r="W5" s="3231"/>
      <c r="X5" s="1743"/>
      <c r="Y5" s="3257"/>
      <c r="Z5" s="3258"/>
      <c r="AA5" s="3243"/>
      <c r="AB5" s="3243"/>
      <c r="AC5" s="3243"/>
    </row>
    <row r="6" spans="1:29" ht="15.75" thickBot="1">
      <c r="A6" s="1748"/>
      <c r="B6" s="1749"/>
      <c r="C6" s="3261" t="s">
        <v>1905</v>
      </c>
      <c r="D6" s="3262"/>
      <c r="E6" s="3268" t="s">
        <v>1905</v>
      </c>
      <c r="F6" s="3269"/>
      <c r="G6" s="3261" t="s">
        <v>1905</v>
      </c>
      <c r="H6" s="3262"/>
      <c r="I6" s="3261" t="s">
        <v>1905</v>
      </c>
      <c r="J6" s="3262"/>
      <c r="K6" s="1747" t="s">
        <v>1906</v>
      </c>
      <c r="L6" s="1741"/>
      <c r="M6" s="1742"/>
      <c r="N6" s="1742"/>
      <c r="O6" s="1742"/>
      <c r="P6" s="3253"/>
      <c r="Q6" s="3254"/>
      <c r="R6" s="3257"/>
      <c r="S6" s="3258"/>
      <c r="T6" s="3259"/>
      <c r="U6" s="3260"/>
      <c r="V6" s="3231"/>
      <c r="W6" s="3231"/>
      <c r="X6" s="1743"/>
      <c r="Y6" s="3259"/>
      <c r="Z6" s="3260"/>
      <c r="AA6" s="3244"/>
      <c r="AB6" s="3244"/>
      <c r="AC6" s="3244"/>
    </row>
    <row r="7" spans="1:29" s="1760" customFormat="1" ht="15.75" thickBot="1">
      <c r="A7" s="1750" t="s">
        <v>1907</v>
      </c>
      <c r="B7" s="1751"/>
      <c r="C7" s="1752">
        <f>'数据-取费表'!B2</f>
        <v>44826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65" t="s">
        <v>1908</v>
      </c>
      <c r="Q7" s="3267"/>
      <c r="R7" s="463" t="s">
        <v>20</v>
      </c>
      <c r="S7" s="1758">
        <f t="shared" ref="S7:S15" si="0">F7</f>
        <v>0</v>
      </c>
      <c r="T7" s="463" t="s">
        <v>20</v>
      </c>
      <c r="U7" s="1758">
        <f t="shared" ref="U7:U15" si="1">H7</f>
        <v>0</v>
      </c>
      <c r="V7" s="463" t="s">
        <v>20</v>
      </c>
      <c r="W7" s="1758">
        <f t="shared" ref="W7:W15" si="2">J7</f>
        <v>0</v>
      </c>
      <c r="X7" s="1759"/>
      <c r="Y7" s="3265" t="s">
        <v>1908</v>
      </c>
      <c r="Z7" s="3266"/>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65" t="s">
        <v>1911</v>
      </c>
      <c r="Q8" s="3266"/>
      <c r="R8" s="463" t="s">
        <v>20</v>
      </c>
      <c r="S8" s="1758">
        <f t="shared" si="0"/>
        <v>0</v>
      </c>
      <c r="T8" s="463" t="s">
        <v>20</v>
      </c>
      <c r="U8" s="1758">
        <f t="shared" si="1"/>
        <v>0</v>
      </c>
      <c r="V8" s="463" t="s">
        <v>20</v>
      </c>
      <c r="W8" s="1758">
        <f t="shared" si="2"/>
        <v>0</v>
      </c>
      <c r="X8" s="1759"/>
      <c r="Y8" s="3265" t="s">
        <v>1911</v>
      </c>
      <c r="Z8" s="3266"/>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41"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41"/>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41"/>
      <c r="Q11" s="1769" t="str">
        <f t="shared" si="6"/>
        <v>容积率</v>
      </c>
      <c r="R11" s="463" t="s">
        <v>18</v>
      </c>
      <c r="S11" s="1758" t="e">
        <f t="shared" si="0"/>
        <v>#N/A</v>
      </c>
      <c r="T11" s="463" t="s">
        <v>18</v>
      </c>
      <c r="U11" s="1758" t="e">
        <f t="shared" si="1"/>
        <v>#N/A</v>
      </c>
      <c r="V11" s="463" t="s">
        <v>18</v>
      </c>
      <c r="W11" s="1758" t="e">
        <f t="shared" si="2"/>
        <v>#N/A</v>
      </c>
      <c r="X11" s="1759"/>
      <c r="Y11" s="311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41"/>
      <c r="Q12" s="1769">
        <f t="shared" si="6"/>
        <v>111</v>
      </c>
      <c r="R12" s="463" t="s">
        <v>18</v>
      </c>
      <c r="S12" s="1758">
        <f t="shared" si="0"/>
        <v>100</v>
      </c>
      <c r="T12" s="463" t="s">
        <v>18</v>
      </c>
      <c r="U12" s="1758">
        <f t="shared" si="1"/>
        <v>100</v>
      </c>
      <c r="V12" s="463" t="s">
        <v>18</v>
      </c>
      <c r="W12" s="1758">
        <f t="shared" si="2"/>
        <v>100</v>
      </c>
      <c r="X12" s="1759"/>
      <c r="Y12" s="311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41"/>
      <c r="Q13" s="1769">
        <f t="shared" si="6"/>
        <v>111</v>
      </c>
      <c r="R13" s="463" t="s">
        <v>18</v>
      </c>
      <c r="S13" s="1758">
        <f t="shared" si="0"/>
        <v>100</v>
      </c>
      <c r="T13" s="463" t="s">
        <v>18</v>
      </c>
      <c r="U13" s="1758">
        <f t="shared" si="1"/>
        <v>100</v>
      </c>
      <c r="V13" s="463" t="s">
        <v>18</v>
      </c>
      <c r="W13" s="1758">
        <f t="shared" si="2"/>
        <v>100</v>
      </c>
      <c r="X13" s="1759"/>
      <c r="Y13" s="3110"/>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41"/>
      <c r="Q14" s="1769">
        <f t="shared" si="6"/>
        <v>111</v>
      </c>
      <c r="R14" s="463" t="s">
        <v>18</v>
      </c>
      <c r="S14" s="1758">
        <f t="shared" si="0"/>
        <v>100</v>
      </c>
      <c r="T14" s="463" t="s">
        <v>18</v>
      </c>
      <c r="U14" s="1758">
        <f t="shared" si="1"/>
        <v>100</v>
      </c>
      <c r="V14" s="463" t="s">
        <v>18</v>
      </c>
      <c r="W14" s="1758">
        <f t="shared" si="2"/>
        <v>100</v>
      </c>
      <c r="X14" s="1759"/>
      <c r="Y14" s="3110"/>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31">
        <f>E47</f>
        <v>0</v>
      </c>
      <c r="S47" s="3231"/>
      <c r="T47" s="3231">
        <f>G47</f>
        <v>0</v>
      </c>
      <c r="U47" s="3231"/>
      <c r="V47" s="3231">
        <f>I47</f>
        <v>0</v>
      </c>
      <c r="W47" s="3231"/>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84272.48</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45" t="s">
        <v>2005</v>
      </c>
      <c r="D4" s="3246"/>
      <c r="E4" s="3247" t="s">
        <v>2006</v>
      </c>
      <c r="F4" s="3248"/>
      <c r="G4" s="3245" t="s">
        <v>2007</v>
      </c>
      <c r="H4" s="3246"/>
      <c r="I4" s="3245" t="s">
        <v>2008</v>
      </c>
      <c r="J4" s="3246"/>
      <c r="K4" s="2042" t="s">
        <v>2009</v>
      </c>
      <c r="L4" s="1741"/>
      <c r="M4" s="1742"/>
      <c r="N4" s="1742"/>
      <c r="O4" s="1742"/>
      <c r="P4" s="3249" t="s">
        <v>2010</v>
      </c>
      <c r="Q4" s="3250"/>
      <c r="R4" s="3255" t="s">
        <v>2006</v>
      </c>
      <c r="S4" s="3256"/>
      <c r="T4" s="3255" t="s">
        <v>2007</v>
      </c>
      <c r="U4" s="3256"/>
      <c r="V4" s="3231" t="s">
        <v>2008</v>
      </c>
      <c r="W4" s="3231"/>
      <c r="X4" s="1743"/>
      <c r="Y4" s="3255" t="s">
        <v>2010</v>
      </c>
      <c r="Z4" s="3256"/>
      <c r="AA4" s="3242" t="s">
        <v>2006</v>
      </c>
      <c r="AB4" s="3231" t="s">
        <v>2007</v>
      </c>
      <c r="AC4" s="3242" t="s">
        <v>2008</v>
      </c>
    </row>
    <row r="5" spans="1:29" ht="15">
      <c r="A5" s="1745"/>
      <c r="B5" s="1746"/>
      <c r="C5" s="3263" t="s">
        <v>1901</v>
      </c>
      <c r="D5" s="3264"/>
      <c r="E5" s="3270" t="s">
        <v>1902</v>
      </c>
      <c r="F5" s="3271"/>
      <c r="G5" s="3263" t="s">
        <v>1903</v>
      </c>
      <c r="H5" s="3264"/>
      <c r="I5" s="3263" t="s">
        <v>1904</v>
      </c>
      <c r="J5" s="3264"/>
      <c r="K5" s="2042"/>
      <c r="L5" s="1741"/>
      <c r="M5" s="1742"/>
      <c r="N5" s="1742"/>
      <c r="O5" s="1742"/>
      <c r="P5" s="3251"/>
      <c r="Q5" s="3252"/>
      <c r="R5" s="3257"/>
      <c r="S5" s="3258"/>
      <c r="T5" s="3257"/>
      <c r="U5" s="3258"/>
      <c r="V5" s="3231"/>
      <c r="W5" s="3231"/>
      <c r="X5" s="1743"/>
      <c r="Y5" s="3257"/>
      <c r="Z5" s="3258"/>
      <c r="AA5" s="3243"/>
      <c r="AB5" s="3231"/>
      <c r="AC5" s="3243"/>
    </row>
    <row r="6" spans="1:29" ht="15.75" thickBot="1">
      <c r="A6" s="1748"/>
      <c r="B6" s="1749"/>
      <c r="C6" s="3261" t="s">
        <v>1905</v>
      </c>
      <c r="D6" s="3262"/>
      <c r="E6" s="3268" t="s">
        <v>1905</v>
      </c>
      <c r="F6" s="3269"/>
      <c r="G6" s="3261" t="s">
        <v>1905</v>
      </c>
      <c r="H6" s="3262"/>
      <c r="I6" s="3261" t="s">
        <v>1905</v>
      </c>
      <c r="J6" s="3262"/>
      <c r="K6" s="2042" t="s">
        <v>1906</v>
      </c>
      <c r="L6" s="1741"/>
      <c r="M6" s="1742"/>
      <c r="N6" s="1742"/>
      <c r="O6" s="1742"/>
      <c r="P6" s="3253"/>
      <c r="Q6" s="3254"/>
      <c r="R6" s="3257"/>
      <c r="S6" s="3258"/>
      <c r="T6" s="3259"/>
      <c r="U6" s="3260"/>
      <c r="V6" s="3231"/>
      <c r="W6" s="3231"/>
      <c r="X6" s="1743"/>
      <c r="Y6" s="3259"/>
      <c r="Z6" s="3260"/>
      <c r="AA6" s="3244"/>
      <c r="AB6" s="3231"/>
      <c r="AC6" s="3244"/>
    </row>
    <row r="7" spans="1:29" s="1760" customFormat="1" ht="15.75" thickBot="1">
      <c r="A7" s="1750" t="s">
        <v>1907</v>
      </c>
      <c r="B7" s="1751"/>
      <c r="C7" s="1752">
        <f>'数据-取费表'!B2</f>
        <v>44826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65" t="s">
        <v>1908</v>
      </c>
      <c r="Q7" s="3267"/>
      <c r="R7" s="463" t="s">
        <v>14</v>
      </c>
      <c r="S7" s="1758">
        <f t="shared" ref="S7:S15" si="0">F7</f>
        <v>0</v>
      </c>
      <c r="T7" s="463" t="s">
        <v>14</v>
      </c>
      <c r="U7" s="1758">
        <f t="shared" ref="U7:U15" si="1">H7</f>
        <v>0</v>
      </c>
      <c r="V7" s="463" t="s">
        <v>14</v>
      </c>
      <c r="W7" s="1758">
        <f t="shared" ref="W7:W15" si="2">J7</f>
        <v>0</v>
      </c>
      <c r="X7" s="1759"/>
      <c r="Y7" s="3265" t="s">
        <v>1908</v>
      </c>
      <c r="Z7" s="3266"/>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65" t="s">
        <v>1911</v>
      </c>
      <c r="Q8" s="3266"/>
      <c r="R8" s="463" t="s">
        <v>14</v>
      </c>
      <c r="S8" s="1758">
        <f t="shared" si="0"/>
        <v>0</v>
      </c>
      <c r="T8" s="463" t="s">
        <v>14</v>
      </c>
      <c r="U8" s="1758">
        <f t="shared" si="1"/>
        <v>0</v>
      </c>
      <c r="V8" s="463" t="s">
        <v>14</v>
      </c>
      <c r="W8" s="1758">
        <f t="shared" si="2"/>
        <v>0</v>
      </c>
      <c r="X8" s="1759"/>
      <c r="Y8" s="3265" t="s">
        <v>1911</v>
      </c>
      <c r="Z8" s="3266"/>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41"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41"/>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41"/>
      <c r="Q11" s="1769" t="str">
        <f t="shared" si="6"/>
        <v>容积率</v>
      </c>
      <c r="R11" s="463" t="s">
        <v>14</v>
      </c>
      <c r="S11" s="1758" t="e">
        <f t="shared" si="0"/>
        <v>#N/A</v>
      </c>
      <c r="T11" s="463" t="s">
        <v>14</v>
      </c>
      <c r="U11" s="1758" t="e">
        <f t="shared" si="1"/>
        <v>#N/A</v>
      </c>
      <c r="V11" s="463" t="s">
        <v>14</v>
      </c>
      <c r="W11" s="1758" t="e">
        <f t="shared" si="2"/>
        <v>#N/A</v>
      </c>
      <c r="X11" s="1759"/>
      <c r="Y11" s="311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41"/>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41"/>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41"/>
      <c r="Q14" s="1769">
        <f t="shared" si="6"/>
        <v>111</v>
      </c>
      <c r="R14" s="463" t="s">
        <v>14</v>
      </c>
      <c r="S14" s="1758">
        <f t="shared" si="0"/>
        <v>100</v>
      </c>
      <c r="T14" s="463" t="s">
        <v>14</v>
      </c>
      <c r="U14" s="1758">
        <f t="shared" si="1"/>
        <v>100</v>
      </c>
      <c r="V14" s="463" t="s">
        <v>14</v>
      </c>
      <c r="W14" s="1758">
        <f t="shared" si="2"/>
        <v>100</v>
      </c>
      <c r="X14" s="1759"/>
      <c r="Y14" s="3110"/>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31">
        <f>E47</f>
        <v>0</v>
      </c>
      <c r="S47" s="3231"/>
      <c r="T47" s="3231">
        <f>G47</f>
        <v>0</v>
      </c>
      <c r="U47" s="3231"/>
      <c r="V47" s="3231">
        <f>I47</f>
        <v>0</v>
      </c>
      <c r="W47" s="3231"/>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84272.48</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45" t="s">
        <v>2005</v>
      </c>
      <c r="D4" s="3246"/>
      <c r="E4" s="3247" t="s">
        <v>2006</v>
      </c>
      <c r="F4" s="3248"/>
      <c r="G4" s="3245" t="s">
        <v>2007</v>
      </c>
      <c r="H4" s="3246"/>
      <c r="I4" s="3245" t="s">
        <v>2008</v>
      </c>
      <c r="J4" s="3246"/>
      <c r="K4" s="2042" t="s">
        <v>2009</v>
      </c>
      <c r="L4" s="1741"/>
      <c r="M4" s="1742"/>
      <c r="N4" s="1742"/>
      <c r="O4" s="1742"/>
      <c r="P4" s="3278" t="s">
        <v>2010</v>
      </c>
      <c r="Q4" s="3279"/>
      <c r="R4" s="3282" t="s">
        <v>2006</v>
      </c>
      <c r="S4" s="3283"/>
      <c r="T4" s="3282" t="s">
        <v>2007</v>
      </c>
      <c r="U4" s="3283"/>
      <c r="V4" s="3284" t="s">
        <v>2008</v>
      </c>
      <c r="W4" s="3284"/>
      <c r="X4" s="2078"/>
      <c r="Y4" s="3282" t="s">
        <v>2010</v>
      </c>
      <c r="Z4" s="3283"/>
      <c r="AA4" s="3286" t="s">
        <v>2006</v>
      </c>
      <c r="AB4" s="3286" t="s">
        <v>2007</v>
      </c>
      <c r="AC4" s="3275" t="s">
        <v>2008</v>
      </c>
    </row>
    <row r="5" spans="1:29" ht="15">
      <c r="A5" s="1745"/>
      <c r="B5" s="1746"/>
      <c r="C5" s="3263" t="s">
        <v>1901</v>
      </c>
      <c r="D5" s="3264"/>
      <c r="E5" s="3270" t="s">
        <v>1902</v>
      </c>
      <c r="F5" s="3271"/>
      <c r="G5" s="3263" t="s">
        <v>1903</v>
      </c>
      <c r="H5" s="3264"/>
      <c r="I5" s="3263" t="s">
        <v>1904</v>
      </c>
      <c r="J5" s="3264"/>
      <c r="K5" s="2042"/>
      <c r="L5" s="1741"/>
      <c r="M5" s="1742"/>
      <c r="N5" s="1742"/>
      <c r="O5" s="1742"/>
      <c r="P5" s="3280"/>
      <c r="Q5" s="3252"/>
      <c r="R5" s="3257"/>
      <c r="S5" s="3258"/>
      <c r="T5" s="3257"/>
      <c r="U5" s="3258"/>
      <c r="V5" s="3231"/>
      <c r="W5" s="3231"/>
      <c r="X5" s="1743"/>
      <c r="Y5" s="3257"/>
      <c r="Z5" s="3258"/>
      <c r="AA5" s="3243"/>
      <c r="AB5" s="3243"/>
      <c r="AC5" s="3276"/>
    </row>
    <row r="6" spans="1:29" ht="15.75" thickBot="1">
      <c r="A6" s="1748"/>
      <c r="B6" s="1749"/>
      <c r="C6" s="3261" t="s">
        <v>1905</v>
      </c>
      <c r="D6" s="3262"/>
      <c r="E6" s="3268" t="s">
        <v>1905</v>
      </c>
      <c r="F6" s="3269"/>
      <c r="G6" s="3261" t="s">
        <v>1905</v>
      </c>
      <c r="H6" s="3262"/>
      <c r="I6" s="3261" t="s">
        <v>1905</v>
      </c>
      <c r="J6" s="3262"/>
      <c r="K6" s="2042" t="s">
        <v>1906</v>
      </c>
      <c r="L6" s="1741"/>
      <c r="M6" s="1742"/>
      <c r="N6" s="1742"/>
      <c r="O6" s="1742"/>
      <c r="P6" s="3281"/>
      <c r="Q6" s="3254"/>
      <c r="R6" s="3257"/>
      <c r="S6" s="3258"/>
      <c r="T6" s="3259"/>
      <c r="U6" s="3260"/>
      <c r="V6" s="3231"/>
      <c r="W6" s="3231"/>
      <c r="X6" s="1743"/>
      <c r="Y6" s="3259"/>
      <c r="Z6" s="3260"/>
      <c r="AA6" s="3244"/>
      <c r="AB6" s="3244"/>
      <c r="AC6" s="3277"/>
    </row>
    <row r="7" spans="1:29" s="1760" customFormat="1" ht="15.75" thickBot="1">
      <c r="A7" s="1750" t="s">
        <v>1907</v>
      </c>
      <c r="B7" s="1751"/>
      <c r="C7" s="1752">
        <f>'数据-取费表'!B2</f>
        <v>44826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85" t="s">
        <v>1908</v>
      </c>
      <c r="Q7" s="3267"/>
      <c r="R7" s="463" t="s">
        <v>14</v>
      </c>
      <c r="S7" s="1758">
        <f t="shared" ref="S7:S15" si="0">F7</f>
        <v>0</v>
      </c>
      <c r="T7" s="463" t="s">
        <v>14</v>
      </c>
      <c r="U7" s="1758">
        <f t="shared" ref="U7:U15" si="1">H7</f>
        <v>0</v>
      </c>
      <c r="V7" s="463" t="s">
        <v>14</v>
      </c>
      <c r="W7" s="1758">
        <f t="shared" ref="W7:W15" si="2">J7</f>
        <v>0</v>
      </c>
      <c r="X7" s="1759"/>
      <c r="Y7" s="3265" t="s">
        <v>1908</v>
      </c>
      <c r="Z7" s="3266"/>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85" t="s">
        <v>1911</v>
      </c>
      <c r="Q8" s="3266"/>
      <c r="R8" s="463" t="s">
        <v>14</v>
      </c>
      <c r="S8" s="1758">
        <f t="shared" si="0"/>
        <v>0</v>
      </c>
      <c r="T8" s="463" t="s">
        <v>14</v>
      </c>
      <c r="U8" s="1758">
        <f t="shared" si="1"/>
        <v>0</v>
      </c>
      <c r="V8" s="463" t="s">
        <v>14</v>
      </c>
      <c r="W8" s="1758">
        <f t="shared" si="2"/>
        <v>0</v>
      </c>
      <c r="X8" s="1759"/>
      <c r="Y8" s="3265" t="s">
        <v>1911</v>
      </c>
      <c r="Z8" s="3266"/>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41"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41"/>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41"/>
      <c r="Q11" s="1769" t="str">
        <f t="shared" si="6"/>
        <v>容积率</v>
      </c>
      <c r="R11" s="463" t="s">
        <v>14</v>
      </c>
      <c r="S11" s="1758" t="e">
        <f t="shared" si="0"/>
        <v>#N/A</v>
      </c>
      <c r="T11" s="463" t="s">
        <v>14</v>
      </c>
      <c r="U11" s="1758" t="e">
        <f t="shared" si="1"/>
        <v>#N/A</v>
      </c>
      <c r="V11" s="463" t="s">
        <v>14</v>
      </c>
      <c r="W11" s="1758" t="e">
        <f t="shared" si="2"/>
        <v>#N/A</v>
      </c>
      <c r="X11" s="1759"/>
      <c r="Y11" s="3110"/>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41"/>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41"/>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41"/>
      <c r="Q14" s="1769">
        <f t="shared" si="6"/>
        <v>111</v>
      </c>
      <c r="R14" s="463" t="s">
        <v>14</v>
      </c>
      <c r="S14" s="1758">
        <f t="shared" si="0"/>
        <v>100</v>
      </c>
      <c r="T14" s="463" t="s">
        <v>14</v>
      </c>
      <c r="U14" s="1758">
        <f t="shared" si="1"/>
        <v>100</v>
      </c>
      <c r="V14" s="463" t="s">
        <v>14</v>
      </c>
      <c r="W14" s="1758">
        <f t="shared" si="2"/>
        <v>100</v>
      </c>
      <c r="X14" s="1759"/>
      <c r="Y14" s="3110"/>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41" t="str">
        <f>A48</f>
        <v>成交单价（元/平方米）</v>
      </c>
      <c r="Q48" s="3230"/>
      <c r="R48" s="3231">
        <f>E48</f>
        <v>0</v>
      </c>
      <c r="S48" s="3231"/>
      <c r="T48" s="3231">
        <f>G48</f>
        <v>0</v>
      </c>
      <c r="U48" s="3231"/>
      <c r="V48" s="3231">
        <f>I48</f>
        <v>0</v>
      </c>
      <c r="W48" s="3231"/>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72" t="str">
        <f>A50</f>
        <v>估价对象XX用房的比较价值（楼面单价，元/平方米）</v>
      </c>
      <c r="Q50" s="3273"/>
      <c r="R50" s="3274" t="e">
        <f>IF(F1="售价",ROUND(IF(D49="简单平均",AVERAGE(R49:V49),R49*F49+T49*H49+V49*J49),0),ROUND(IF(D49="简单平均",AVERAGE(R49:V49),R49*F49+T49*H49+V49*J49),1))</f>
        <v>#DIV/0!</v>
      </c>
      <c r="S50" s="3274"/>
      <c r="T50" s="3274"/>
      <c r="U50" s="3274"/>
      <c r="V50" s="3274"/>
      <c r="W50" s="327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84272.48</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45" t="s">
        <v>2005</v>
      </c>
      <c r="D4" s="3246"/>
      <c r="E4" s="3247" t="s">
        <v>2006</v>
      </c>
      <c r="F4" s="3248"/>
      <c r="G4" s="3245" t="s">
        <v>2007</v>
      </c>
      <c r="H4" s="3246"/>
      <c r="I4" s="3245" t="s">
        <v>2008</v>
      </c>
      <c r="J4" s="3246"/>
      <c r="K4" s="2042" t="s">
        <v>2009</v>
      </c>
      <c r="L4" s="2108"/>
      <c r="M4" s="2109"/>
      <c r="N4" s="2109"/>
      <c r="O4" s="2109"/>
      <c r="P4" s="3249" t="s">
        <v>2010</v>
      </c>
      <c r="Q4" s="3250"/>
      <c r="R4" s="3255" t="s">
        <v>2006</v>
      </c>
      <c r="S4" s="3256"/>
      <c r="T4" s="3255" t="s">
        <v>2007</v>
      </c>
      <c r="U4" s="3256"/>
      <c r="V4" s="3231" t="s">
        <v>2008</v>
      </c>
      <c r="W4" s="3231"/>
      <c r="X4" s="1743"/>
      <c r="Y4" s="3255" t="s">
        <v>2010</v>
      </c>
      <c r="Z4" s="3256"/>
      <c r="AA4" s="3242" t="s">
        <v>2006</v>
      </c>
      <c r="AB4" s="3243" t="s">
        <v>2007</v>
      </c>
      <c r="AC4" s="3242" t="s">
        <v>2008</v>
      </c>
    </row>
    <row r="5" spans="1:29" ht="15">
      <c r="A5" s="1745"/>
      <c r="B5" s="1746"/>
      <c r="C5" s="3263" t="s">
        <v>1901</v>
      </c>
      <c r="D5" s="3264"/>
      <c r="E5" s="3270" t="s">
        <v>1902</v>
      </c>
      <c r="F5" s="3271"/>
      <c r="G5" s="3263" t="s">
        <v>1903</v>
      </c>
      <c r="H5" s="3264"/>
      <c r="I5" s="3263" t="s">
        <v>1904</v>
      </c>
      <c r="J5" s="3264"/>
      <c r="K5" s="2042"/>
      <c r="L5" s="2108"/>
      <c r="M5" s="2109"/>
      <c r="N5" s="2109"/>
      <c r="O5" s="2109"/>
      <c r="P5" s="3251"/>
      <c r="Q5" s="3252"/>
      <c r="R5" s="3257"/>
      <c r="S5" s="3258"/>
      <c r="T5" s="3257"/>
      <c r="U5" s="3258"/>
      <c r="V5" s="3231"/>
      <c r="W5" s="3231"/>
      <c r="X5" s="1743"/>
      <c r="Y5" s="3257"/>
      <c r="Z5" s="3258"/>
      <c r="AA5" s="3243"/>
      <c r="AB5" s="3243"/>
      <c r="AC5" s="3243"/>
    </row>
    <row r="6" spans="1:29" ht="15.75" thickBot="1">
      <c r="A6" s="1748"/>
      <c r="B6" s="1749"/>
      <c r="C6" s="3261" t="s">
        <v>1905</v>
      </c>
      <c r="D6" s="3262"/>
      <c r="E6" s="3268" t="s">
        <v>1905</v>
      </c>
      <c r="F6" s="3269"/>
      <c r="G6" s="3261" t="s">
        <v>1905</v>
      </c>
      <c r="H6" s="3262"/>
      <c r="I6" s="3261" t="s">
        <v>1905</v>
      </c>
      <c r="J6" s="3262"/>
      <c r="K6" s="2042" t="s">
        <v>1906</v>
      </c>
      <c r="L6" s="2108"/>
      <c r="M6" s="2109"/>
      <c r="N6" s="2109"/>
      <c r="O6" s="2109"/>
      <c r="P6" s="3253"/>
      <c r="Q6" s="3254"/>
      <c r="R6" s="3257"/>
      <c r="S6" s="3258"/>
      <c r="T6" s="3259"/>
      <c r="U6" s="3260"/>
      <c r="V6" s="3231"/>
      <c r="W6" s="3231"/>
      <c r="X6" s="1743"/>
      <c r="Y6" s="3259"/>
      <c r="Z6" s="3260"/>
      <c r="AA6" s="3244"/>
      <c r="AB6" s="3244"/>
      <c r="AC6" s="3244"/>
    </row>
    <row r="7" spans="1:29" s="1760" customFormat="1" ht="15.75" thickBot="1">
      <c r="A7" s="1750" t="s">
        <v>1907</v>
      </c>
      <c r="B7" s="1751"/>
      <c r="C7" s="1752">
        <f>'数据-取费表'!B2</f>
        <v>44826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65" t="s">
        <v>1908</v>
      </c>
      <c r="Q7" s="3267"/>
      <c r="R7" s="463" t="s">
        <v>14</v>
      </c>
      <c r="S7" s="1758">
        <f t="shared" ref="S7:S15" si="0">F7</f>
        <v>0</v>
      </c>
      <c r="T7" s="463" t="s">
        <v>14</v>
      </c>
      <c r="U7" s="1758">
        <f t="shared" ref="U7:U15" si="1">H7</f>
        <v>0</v>
      </c>
      <c r="V7" s="463" t="s">
        <v>14</v>
      </c>
      <c r="W7" s="1758">
        <f t="shared" ref="W7:W15" si="2">J7</f>
        <v>0</v>
      </c>
      <c r="X7" s="1759"/>
      <c r="Y7" s="3265" t="s">
        <v>1908</v>
      </c>
      <c r="Z7" s="3266"/>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65" t="s">
        <v>1911</v>
      </c>
      <c r="Q8" s="3266"/>
      <c r="R8" s="463" t="s">
        <v>14</v>
      </c>
      <c r="S8" s="1758">
        <f t="shared" si="0"/>
        <v>0</v>
      </c>
      <c r="T8" s="463" t="s">
        <v>14</v>
      </c>
      <c r="U8" s="1758">
        <f t="shared" si="1"/>
        <v>0</v>
      </c>
      <c r="V8" s="463" t="s">
        <v>14</v>
      </c>
      <c r="W8" s="1758">
        <f t="shared" si="2"/>
        <v>0</v>
      </c>
      <c r="X8" s="1759"/>
      <c r="Y8" s="3265" t="s">
        <v>1911</v>
      </c>
      <c r="Z8" s="3266"/>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1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10"/>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9.2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87"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31">
        <f>E41</f>
        <v>0</v>
      </c>
      <c r="S41" s="3231"/>
      <c r="T41" s="3231">
        <f>G41</f>
        <v>0</v>
      </c>
      <c r="U41" s="3231"/>
      <c r="V41" s="3231">
        <f>I41</f>
        <v>0</v>
      </c>
      <c r="W41" s="3231"/>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54">
      <c r="A7" s="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估价对象为北京市房地产，为所有。根据《国有土地使用证》[]，估价对象（分摊）出让国有建设用地使用权面积为52670.3平方米，建筑面积为84272.48平方米。</v>
      </c>
    </row>
    <row r="8" spans="1:1" ht="57.75">
      <c r="A8" s="181" t="s">
        <v>1118</v>
      </c>
    </row>
    <row r="9" spans="1:1" ht="18.75">
      <c r="A9" s="180" t="s">
        <v>1119</v>
      </c>
    </row>
    <row r="10" spans="1:1" ht="54">
      <c r="A10" s="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估价对象为北京市房地产,属开发建设的，该项目尚在开发建设中。根据《国有土地使用证》[]，估价对象（分摊）出让国有建设用地使用权面积为52670.3平方米，规划建筑面积为84272.48平方米。</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2022年9月22日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本次估价的“房地产价值”是指在正常市场情况下，在价值时点2022年9月22日，估价对象规划用途为，土地取得方式为划拨，假定未设立法定优先受偿款下的房地产市场价值。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45" t="s">
        <v>2005</v>
      </c>
      <c r="D4" s="3246"/>
      <c r="E4" s="3247" t="s">
        <v>2006</v>
      </c>
      <c r="F4" s="3248"/>
      <c r="G4" s="3245" t="s">
        <v>2007</v>
      </c>
      <c r="H4" s="3246"/>
      <c r="I4" s="3245" t="s">
        <v>2008</v>
      </c>
      <c r="J4" s="3246"/>
      <c r="K4" s="2042" t="s">
        <v>2009</v>
      </c>
      <c r="L4" s="1741"/>
      <c r="M4" s="1742"/>
      <c r="N4" s="1742"/>
      <c r="O4" s="1742"/>
      <c r="P4" s="3249" t="s">
        <v>2010</v>
      </c>
      <c r="Q4" s="3250"/>
      <c r="R4" s="3255" t="s">
        <v>2006</v>
      </c>
      <c r="S4" s="3256"/>
      <c r="T4" s="3255" t="s">
        <v>2007</v>
      </c>
      <c r="U4" s="3256"/>
      <c r="V4" s="3231" t="s">
        <v>2008</v>
      </c>
      <c r="W4" s="3231"/>
      <c r="X4" s="1743"/>
      <c r="Y4" s="3255" t="s">
        <v>2010</v>
      </c>
      <c r="Z4" s="3256"/>
      <c r="AA4" s="3242" t="s">
        <v>2006</v>
      </c>
      <c r="AB4" s="3243" t="s">
        <v>2007</v>
      </c>
      <c r="AC4" s="3242" t="s">
        <v>2008</v>
      </c>
    </row>
    <row r="5" spans="1:29" ht="15">
      <c r="A5" s="1745"/>
      <c r="B5" s="1746"/>
      <c r="C5" s="3263" t="s">
        <v>1901</v>
      </c>
      <c r="D5" s="3264"/>
      <c r="E5" s="3270" t="s">
        <v>1902</v>
      </c>
      <c r="F5" s="3271"/>
      <c r="G5" s="3263" t="s">
        <v>1903</v>
      </c>
      <c r="H5" s="3264"/>
      <c r="I5" s="3263" t="s">
        <v>1904</v>
      </c>
      <c r="J5" s="3264"/>
      <c r="K5" s="2042"/>
      <c r="L5" s="1741"/>
      <c r="M5" s="1742"/>
      <c r="N5" s="1742"/>
      <c r="O5" s="1742"/>
      <c r="P5" s="3251"/>
      <c r="Q5" s="3252"/>
      <c r="R5" s="3257"/>
      <c r="S5" s="3258"/>
      <c r="T5" s="3257"/>
      <c r="U5" s="3258"/>
      <c r="V5" s="3231"/>
      <c r="W5" s="3231"/>
      <c r="X5" s="1743"/>
      <c r="Y5" s="3257"/>
      <c r="Z5" s="3258"/>
      <c r="AA5" s="3243"/>
      <c r="AB5" s="3243"/>
      <c r="AC5" s="3243"/>
    </row>
    <row r="6" spans="1:29" ht="15.75" thickBot="1">
      <c r="A6" s="1748"/>
      <c r="B6" s="1749"/>
      <c r="C6" s="3261" t="s">
        <v>1905</v>
      </c>
      <c r="D6" s="3262"/>
      <c r="E6" s="3268" t="s">
        <v>1905</v>
      </c>
      <c r="F6" s="3269"/>
      <c r="G6" s="3261" t="s">
        <v>1905</v>
      </c>
      <c r="H6" s="3262"/>
      <c r="I6" s="3261" t="s">
        <v>1905</v>
      </c>
      <c r="J6" s="3262"/>
      <c r="K6" s="2042" t="s">
        <v>1906</v>
      </c>
      <c r="L6" s="1741"/>
      <c r="M6" s="1742"/>
      <c r="N6" s="1742"/>
      <c r="O6" s="1742"/>
      <c r="P6" s="3253"/>
      <c r="Q6" s="3254"/>
      <c r="R6" s="3257"/>
      <c r="S6" s="3258"/>
      <c r="T6" s="3259"/>
      <c r="U6" s="3260"/>
      <c r="V6" s="3231"/>
      <c r="W6" s="3231"/>
      <c r="X6" s="1743"/>
      <c r="Y6" s="3259"/>
      <c r="Z6" s="3260"/>
      <c r="AA6" s="3244"/>
      <c r="AB6" s="3244"/>
      <c r="AC6" s="3244"/>
    </row>
    <row r="7" spans="1:29" s="1760" customFormat="1" ht="15.75" thickBot="1">
      <c r="A7" s="1750" t="s">
        <v>1907</v>
      </c>
      <c r="B7" s="1751"/>
      <c r="C7" s="1752">
        <f>'数据-取费表'!B2</f>
        <v>44826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65" t="s">
        <v>1908</v>
      </c>
      <c r="Q7" s="3267"/>
      <c r="R7" s="463" t="s">
        <v>14</v>
      </c>
      <c r="S7" s="1758">
        <f t="shared" ref="S7:S14" si="0">F7</f>
        <v>0</v>
      </c>
      <c r="T7" s="463" t="s">
        <v>14</v>
      </c>
      <c r="U7" s="1758">
        <f t="shared" ref="U7:U14" si="1">H7</f>
        <v>0</v>
      </c>
      <c r="V7" s="463" t="s">
        <v>14</v>
      </c>
      <c r="W7" s="1758">
        <f t="shared" ref="W7:W14" si="2">J7</f>
        <v>0</v>
      </c>
      <c r="X7" s="1759"/>
      <c r="Y7" s="3265" t="s">
        <v>1908</v>
      </c>
      <c r="Z7" s="3266"/>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65" t="s">
        <v>1911</v>
      </c>
      <c r="Q8" s="3266"/>
      <c r="R8" s="463" t="s">
        <v>14</v>
      </c>
      <c r="S8" s="1758">
        <f t="shared" si="0"/>
        <v>0</v>
      </c>
      <c r="T8" s="463" t="s">
        <v>14</v>
      </c>
      <c r="U8" s="1758">
        <f t="shared" si="1"/>
        <v>0</v>
      </c>
      <c r="V8" s="463" t="s">
        <v>14</v>
      </c>
      <c r="W8" s="1758">
        <f t="shared" si="2"/>
        <v>0</v>
      </c>
      <c r="X8" s="1759"/>
      <c r="Y8" s="3265" t="s">
        <v>1911</v>
      </c>
      <c r="Z8" s="3266"/>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10"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10"/>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9.2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8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31">
        <f>E37</f>
        <v>0</v>
      </c>
      <c r="S37" s="3231"/>
      <c r="T37" s="3231">
        <f>G37</f>
        <v>0</v>
      </c>
      <c r="U37" s="3231"/>
      <c r="V37" s="3231">
        <f>I37</f>
        <v>0</v>
      </c>
      <c r="W37" s="3231"/>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88" t="e">
        <f>IF(F1="售价",ROUND(IF(D38="简单平均",AVERAGE(R38:W38),R38*F38+T38*H38+V38*J38),0),ROUND(IF(D38="简单平均",AVERAGE(R38:V38),R38*F38+T38*H38+V38*J38),1))</f>
        <v>#DIV/0!</v>
      </c>
      <c r="S39" s="3288"/>
      <c r="T39" s="3288"/>
      <c r="U39" s="3288"/>
      <c r="V39" s="3288"/>
      <c r="W39" s="328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45" t="s">
        <v>2005</v>
      </c>
      <c r="D4" s="3246"/>
      <c r="E4" s="3247" t="s">
        <v>2006</v>
      </c>
      <c r="F4" s="3248"/>
      <c r="G4" s="3245" t="s">
        <v>2007</v>
      </c>
      <c r="H4" s="3246"/>
      <c r="I4" s="3245" t="s">
        <v>2008</v>
      </c>
      <c r="J4" s="3246"/>
      <c r="K4" s="2042" t="s">
        <v>2009</v>
      </c>
      <c r="L4" s="1741"/>
      <c r="M4" s="1742"/>
      <c r="N4" s="1742"/>
      <c r="O4" s="1742"/>
      <c r="P4" s="3249" t="s">
        <v>2010</v>
      </c>
      <c r="Q4" s="3250"/>
      <c r="R4" s="3255" t="s">
        <v>2006</v>
      </c>
      <c r="S4" s="3256"/>
      <c r="T4" s="3255" t="s">
        <v>2007</v>
      </c>
      <c r="U4" s="3256"/>
      <c r="V4" s="3231" t="s">
        <v>2008</v>
      </c>
      <c r="W4" s="3231"/>
      <c r="X4" s="1743"/>
      <c r="Y4" s="3255" t="s">
        <v>2010</v>
      </c>
      <c r="Z4" s="3256"/>
      <c r="AA4" s="3242" t="s">
        <v>2006</v>
      </c>
      <c r="AB4" s="3243" t="s">
        <v>2007</v>
      </c>
      <c r="AC4" s="3242" t="s">
        <v>2008</v>
      </c>
    </row>
    <row r="5" spans="1:29" ht="15">
      <c r="A5" s="1745"/>
      <c r="B5" s="1746"/>
      <c r="C5" s="3263" t="s">
        <v>1901</v>
      </c>
      <c r="D5" s="3264"/>
      <c r="E5" s="3270" t="s">
        <v>1902</v>
      </c>
      <c r="F5" s="3271"/>
      <c r="G5" s="3263" t="s">
        <v>1903</v>
      </c>
      <c r="H5" s="3264"/>
      <c r="I5" s="3263" t="s">
        <v>1904</v>
      </c>
      <c r="J5" s="3264"/>
      <c r="K5" s="2042"/>
      <c r="L5" s="1741"/>
      <c r="M5" s="1742"/>
      <c r="N5" s="1742"/>
      <c r="O5" s="1742"/>
      <c r="P5" s="3251"/>
      <c r="Q5" s="3252"/>
      <c r="R5" s="3257"/>
      <c r="S5" s="3258"/>
      <c r="T5" s="3257"/>
      <c r="U5" s="3258"/>
      <c r="V5" s="3231"/>
      <c r="W5" s="3231"/>
      <c r="X5" s="1743"/>
      <c r="Y5" s="3257"/>
      <c r="Z5" s="3258"/>
      <c r="AA5" s="3243"/>
      <c r="AB5" s="3243"/>
      <c r="AC5" s="3243"/>
    </row>
    <row r="6" spans="1:29" ht="15.75" thickBot="1">
      <c r="A6" s="1748"/>
      <c r="B6" s="1749"/>
      <c r="C6" s="3261" t="s">
        <v>1905</v>
      </c>
      <c r="D6" s="3262"/>
      <c r="E6" s="3268" t="s">
        <v>1905</v>
      </c>
      <c r="F6" s="3269"/>
      <c r="G6" s="3261" t="s">
        <v>1905</v>
      </c>
      <c r="H6" s="3262"/>
      <c r="I6" s="3261" t="s">
        <v>1905</v>
      </c>
      <c r="J6" s="3262"/>
      <c r="K6" s="2042" t="s">
        <v>1906</v>
      </c>
      <c r="L6" s="1741"/>
      <c r="M6" s="1742"/>
      <c r="N6" s="1742"/>
      <c r="O6" s="1742"/>
      <c r="P6" s="3253"/>
      <c r="Q6" s="3254"/>
      <c r="R6" s="3257"/>
      <c r="S6" s="3258"/>
      <c r="T6" s="3259"/>
      <c r="U6" s="3260"/>
      <c r="V6" s="3231"/>
      <c r="W6" s="3231"/>
      <c r="X6" s="1743"/>
      <c r="Y6" s="3259"/>
      <c r="Z6" s="3260"/>
      <c r="AA6" s="3244"/>
      <c r="AB6" s="3244"/>
      <c r="AC6" s="3244"/>
    </row>
    <row r="7" spans="1:29" s="1760" customFormat="1" ht="15.75" thickBot="1">
      <c r="A7" s="1750" t="s">
        <v>1907</v>
      </c>
      <c r="B7" s="1751"/>
      <c r="C7" s="1752">
        <f>'数据-取费表'!B2</f>
        <v>44826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65" t="s">
        <v>1908</v>
      </c>
      <c r="Q7" s="3267"/>
      <c r="R7" s="463" t="s">
        <v>14</v>
      </c>
      <c r="S7" s="1758">
        <f t="shared" ref="S7:S14" si="0">F7</f>
        <v>0</v>
      </c>
      <c r="T7" s="463" t="s">
        <v>14</v>
      </c>
      <c r="U7" s="1758">
        <f t="shared" ref="U7:U14" si="1">H7</f>
        <v>0</v>
      </c>
      <c r="V7" s="463" t="s">
        <v>14</v>
      </c>
      <c r="W7" s="1758">
        <f t="shared" ref="W7:W14" si="2">J7</f>
        <v>0</v>
      </c>
      <c r="X7" s="1759"/>
      <c r="Y7" s="3265" t="s">
        <v>1908</v>
      </c>
      <c r="Z7" s="3266"/>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65" t="s">
        <v>1911</v>
      </c>
      <c r="Q8" s="3266"/>
      <c r="R8" s="463" t="s">
        <v>14</v>
      </c>
      <c r="S8" s="1758">
        <f t="shared" si="0"/>
        <v>0</v>
      </c>
      <c r="T8" s="463" t="s">
        <v>14</v>
      </c>
      <c r="U8" s="1758">
        <f t="shared" si="1"/>
        <v>0</v>
      </c>
      <c r="V8" s="463" t="s">
        <v>14</v>
      </c>
      <c r="W8" s="1758">
        <f t="shared" si="2"/>
        <v>0</v>
      </c>
      <c r="X8" s="1759"/>
      <c r="Y8" s="3265" t="s">
        <v>1911</v>
      </c>
      <c r="Z8" s="3266"/>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10"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10"/>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10"/>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9.2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8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31">
        <f>E35</f>
        <v>0</v>
      </c>
      <c r="S35" s="3231"/>
      <c r="T35" s="3231">
        <f>G35</f>
        <v>0</v>
      </c>
      <c r="U35" s="3231"/>
      <c r="V35" s="3231">
        <f>I35</f>
        <v>0</v>
      </c>
      <c r="W35" s="3231"/>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88" t="e">
        <f>IF(F1="售价",ROUND(IF(D36="简单平均",AVERAGE(R36:W36),R36*F36+T36*H36+V36*J36),0),ROUND(IF(D36="简单平均",AVERAGE(R36:V36),R36*F36+T36*H36+V36*J36),1))</f>
        <v>#DIV/0!</v>
      </c>
      <c r="S37" s="3288"/>
      <c r="T37" s="3288"/>
      <c r="U37" s="3288"/>
      <c r="V37" s="3288"/>
      <c r="W37" s="328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45" t="s">
        <v>2005</v>
      </c>
      <c r="D4" s="3246"/>
      <c r="E4" s="3247" t="s">
        <v>2006</v>
      </c>
      <c r="F4" s="3248"/>
      <c r="G4" s="3245" t="s">
        <v>2007</v>
      </c>
      <c r="H4" s="3246"/>
      <c r="I4" s="3245" t="s">
        <v>2008</v>
      </c>
      <c r="J4" s="3246"/>
      <c r="K4" s="2042" t="s">
        <v>2009</v>
      </c>
      <c r="L4" s="1741"/>
      <c r="M4" s="1742"/>
      <c r="N4" s="1742"/>
      <c r="O4" s="1742"/>
      <c r="P4" s="3249" t="s">
        <v>2010</v>
      </c>
      <c r="Q4" s="3250"/>
      <c r="R4" s="3255" t="s">
        <v>2006</v>
      </c>
      <c r="S4" s="3256"/>
      <c r="T4" s="3255" t="s">
        <v>2007</v>
      </c>
      <c r="U4" s="3256"/>
      <c r="V4" s="3231" t="s">
        <v>2008</v>
      </c>
      <c r="W4" s="3231"/>
      <c r="X4" s="1743"/>
      <c r="Y4" s="3255" t="s">
        <v>2010</v>
      </c>
      <c r="Z4" s="3256"/>
      <c r="AA4" s="3242" t="s">
        <v>2006</v>
      </c>
      <c r="AB4" s="3243" t="s">
        <v>2007</v>
      </c>
      <c r="AC4" s="3242" t="s">
        <v>2008</v>
      </c>
    </row>
    <row r="5" spans="1:30" ht="15">
      <c r="A5" s="1745"/>
      <c r="B5" s="1746"/>
      <c r="C5" s="3263" t="s">
        <v>1901</v>
      </c>
      <c r="D5" s="3264"/>
      <c r="E5" s="3270" t="s">
        <v>1902</v>
      </c>
      <c r="F5" s="3271"/>
      <c r="G5" s="3263" t="s">
        <v>1903</v>
      </c>
      <c r="H5" s="3264"/>
      <c r="I5" s="3263" t="s">
        <v>1904</v>
      </c>
      <c r="J5" s="3264"/>
      <c r="K5" s="2042"/>
      <c r="L5" s="1741"/>
      <c r="M5" s="1742"/>
      <c r="N5" s="1742"/>
      <c r="O5" s="1742"/>
      <c r="P5" s="3251"/>
      <c r="Q5" s="3252"/>
      <c r="R5" s="3257"/>
      <c r="S5" s="3258"/>
      <c r="T5" s="3257"/>
      <c r="U5" s="3258"/>
      <c r="V5" s="3231"/>
      <c r="W5" s="3231"/>
      <c r="X5" s="1743"/>
      <c r="Y5" s="3257"/>
      <c r="Z5" s="3258"/>
      <c r="AA5" s="3243"/>
      <c r="AB5" s="3243"/>
      <c r="AC5" s="3243"/>
    </row>
    <row r="6" spans="1:30" ht="15.75" thickBot="1">
      <c r="A6" s="1748"/>
      <c r="B6" s="1749"/>
      <c r="C6" s="3261" t="s">
        <v>1905</v>
      </c>
      <c r="D6" s="3262"/>
      <c r="E6" s="3268" t="s">
        <v>1905</v>
      </c>
      <c r="F6" s="3269"/>
      <c r="G6" s="3261" t="s">
        <v>1905</v>
      </c>
      <c r="H6" s="3262"/>
      <c r="I6" s="3261" t="s">
        <v>1905</v>
      </c>
      <c r="J6" s="3262"/>
      <c r="K6" s="2042" t="s">
        <v>1906</v>
      </c>
      <c r="L6" s="1741"/>
      <c r="M6" s="1742"/>
      <c r="N6" s="1742"/>
      <c r="O6" s="1742"/>
      <c r="P6" s="3253"/>
      <c r="Q6" s="3254"/>
      <c r="R6" s="3257"/>
      <c r="S6" s="3258"/>
      <c r="T6" s="3259"/>
      <c r="U6" s="3260"/>
      <c r="V6" s="3231"/>
      <c r="W6" s="3231"/>
      <c r="X6" s="1743"/>
      <c r="Y6" s="3259"/>
      <c r="Z6" s="3260"/>
      <c r="AA6" s="3244"/>
      <c r="AB6" s="3244"/>
      <c r="AC6" s="3244"/>
    </row>
    <row r="7" spans="1:30" s="1760" customFormat="1" ht="15.75" thickBot="1">
      <c r="A7" s="1750" t="s">
        <v>1907</v>
      </c>
      <c r="B7" s="1751"/>
      <c r="C7" s="1752">
        <f>'数据-取费表'!B2</f>
        <v>44826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65" t="s">
        <v>1908</v>
      </c>
      <c r="Q7" s="3267"/>
      <c r="R7" s="463" t="s">
        <v>14</v>
      </c>
      <c r="S7" s="1758">
        <f t="shared" ref="S7:S15" si="0">F7</f>
        <v>0</v>
      </c>
      <c r="T7" s="463" t="s">
        <v>14</v>
      </c>
      <c r="U7" s="1758">
        <f t="shared" ref="U7:U15" si="1">H7</f>
        <v>0</v>
      </c>
      <c r="V7" s="463" t="s">
        <v>14</v>
      </c>
      <c r="W7" s="1758">
        <f t="shared" ref="W7:W15" si="2">J7</f>
        <v>0</v>
      </c>
      <c r="X7" s="1759"/>
      <c r="Y7" s="3265" t="s">
        <v>1908</v>
      </c>
      <c r="Z7" s="3266"/>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65" t="s">
        <v>1911</v>
      </c>
      <c r="Q8" s="3266"/>
      <c r="R8" s="463" t="s">
        <v>14</v>
      </c>
      <c r="S8" s="1758">
        <f t="shared" si="0"/>
        <v>0</v>
      </c>
      <c r="T8" s="463" t="s">
        <v>14</v>
      </c>
      <c r="U8" s="1758">
        <f t="shared" si="1"/>
        <v>0</v>
      </c>
      <c r="V8" s="463" t="s">
        <v>14</v>
      </c>
      <c r="W8" s="1758">
        <f t="shared" si="2"/>
        <v>0</v>
      </c>
      <c r="X8" s="1759"/>
      <c r="Y8" s="3265" t="s">
        <v>1911</v>
      </c>
      <c r="Z8" s="3266"/>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10"/>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10"/>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10"/>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10"/>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87"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31">
        <f>E46</f>
        <v>0</v>
      </c>
      <c r="S46" s="3231"/>
      <c r="T46" s="3231">
        <f>G46</f>
        <v>0</v>
      </c>
      <c r="U46" s="3231"/>
      <c r="V46" s="3231">
        <f>I46</f>
        <v>0</v>
      </c>
      <c r="W46" s="3231"/>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31" t="e">
        <f>ROUND(PRODUCT(R46,AA7:AA45),0)</f>
        <v>#DIV/0!</v>
      </c>
      <c r="S47" s="3231"/>
      <c r="T47" s="3231" t="e">
        <f>ROUND(PRODUCT(T46,AB7:AB45),0)</f>
        <v>#DIV/0!</v>
      </c>
      <c r="U47" s="3231"/>
      <c r="V47" s="3231" t="e">
        <f>ROUND(PRODUCT(V46,AC7:AC45),0)</f>
        <v>#DIV/0!</v>
      </c>
      <c r="W47" s="3231"/>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45" t="s">
        <v>2123</v>
      </c>
      <c r="H55" s="328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84272.48</v>
      </c>
      <c r="F56" s="1196" t="e">
        <f t="shared" ref="F56:F65" si="15">ROUND(B56*E56/10000,0)</f>
        <v>#DIV/0!</v>
      </c>
      <c r="G56" s="3241"/>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90" t="s">
        <v>2128</v>
      </c>
      <c r="H57" s="2222" t="str">
        <f>项目基本情况!B37</f>
        <v>六级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90"/>
      <c r="H58" s="2222" t="str">
        <f>项目基本情况!B37</f>
        <v>六级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90"/>
      <c r="H59" s="2222" t="str">
        <f>项目基本情况!B37</f>
        <v>六级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90"/>
      <c r="H60" s="2222" t="str">
        <f>项目基本情况!B37</f>
        <v>六级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0.15</v>
      </c>
      <c r="D63" s="2221">
        <v>0.25</v>
      </c>
      <c r="E63" s="1157">
        <f>'数据-汇总表'!E13</f>
        <v>0</v>
      </c>
      <c r="F63" s="1196" t="e">
        <f t="shared" si="15"/>
        <v>#DIV/0!</v>
      </c>
      <c r="G63" s="2225" t="s">
        <v>2137</v>
      </c>
      <c r="H63" s="2222" t="str">
        <f>IF(G63="商业",项目基本情况!B37,IF(G63="办公",项目基本情况!C37,IF(G63="住宅",项目基本情况!D37,项目基本情况!E37)))</f>
        <v>六级</v>
      </c>
      <c r="I63" s="1236">
        <f>SUMIF(修正!A57:A68,H63,修正!G57:G68)</f>
        <v>0.15</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六级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84272.48</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"北京市平均增长率"&amp;TEXT(SUMIF('基准地价（商业）'!N25:N29,A71,'基准地价（商业）'!P25:P29),"0.00%")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45" t="s">
        <v>2005</v>
      </c>
      <c r="D4" s="3246"/>
      <c r="E4" s="3247" t="s">
        <v>2006</v>
      </c>
      <c r="F4" s="3248"/>
      <c r="G4" s="3245" t="s">
        <v>2007</v>
      </c>
      <c r="H4" s="3246"/>
      <c r="I4" s="3245" t="s">
        <v>2008</v>
      </c>
      <c r="J4" s="3246"/>
      <c r="K4" s="2042" t="s">
        <v>2009</v>
      </c>
      <c r="L4" s="1741"/>
      <c r="M4" s="1742"/>
      <c r="N4" s="1742"/>
      <c r="O4" s="1742"/>
      <c r="P4" s="3249" t="s">
        <v>2010</v>
      </c>
      <c r="Q4" s="3250"/>
      <c r="R4" s="3255" t="s">
        <v>2006</v>
      </c>
      <c r="S4" s="3256"/>
      <c r="T4" s="3255" t="s">
        <v>2007</v>
      </c>
      <c r="U4" s="3256"/>
      <c r="V4" s="3231" t="s">
        <v>2008</v>
      </c>
      <c r="W4" s="3231"/>
      <c r="X4" s="1743"/>
      <c r="Y4" s="3255" t="s">
        <v>2010</v>
      </c>
      <c r="Z4" s="3256"/>
      <c r="AA4" s="3242" t="s">
        <v>2006</v>
      </c>
      <c r="AB4" s="3243" t="s">
        <v>2007</v>
      </c>
      <c r="AC4" s="3242" t="s">
        <v>2008</v>
      </c>
    </row>
    <row r="5" spans="1:29" ht="15">
      <c r="A5" s="1745"/>
      <c r="B5" s="1746"/>
      <c r="C5" s="3263" t="s">
        <v>1901</v>
      </c>
      <c r="D5" s="3264"/>
      <c r="E5" s="3270" t="s">
        <v>1902</v>
      </c>
      <c r="F5" s="3271"/>
      <c r="G5" s="3263" t="s">
        <v>1903</v>
      </c>
      <c r="H5" s="3264"/>
      <c r="I5" s="3263" t="s">
        <v>1904</v>
      </c>
      <c r="J5" s="3264"/>
      <c r="K5" s="2042"/>
      <c r="L5" s="1741"/>
      <c r="M5" s="1742"/>
      <c r="N5" s="1742"/>
      <c r="O5" s="1742"/>
      <c r="P5" s="3251"/>
      <c r="Q5" s="3252"/>
      <c r="R5" s="3257"/>
      <c r="S5" s="3258"/>
      <c r="T5" s="3257"/>
      <c r="U5" s="3258"/>
      <c r="V5" s="3231"/>
      <c r="W5" s="3231"/>
      <c r="X5" s="1743"/>
      <c r="Y5" s="3257"/>
      <c r="Z5" s="3258"/>
      <c r="AA5" s="3243"/>
      <c r="AB5" s="3243"/>
      <c r="AC5" s="3243"/>
    </row>
    <row r="6" spans="1:29" ht="15.75" thickBot="1">
      <c r="A6" s="1748"/>
      <c r="B6" s="1749"/>
      <c r="C6" s="3291" t="s">
        <v>2156</v>
      </c>
      <c r="D6" s="3292"/>
      <c r="E6" s="3293" t="s">
        <v>2156</v>
      </c>
      <c r="F6" s="3294"/>
      <c r="G6" s="3291" t="s">
        <v>2156</v>
      </c>
      <c r="H6" s="3292"/>
      <c r="I6" s="3291" t="s">
        <v>2156</v>
      </c>
      <c r="J6" s="3292"/>
      <c r="K6" s="2042" t="s">
        <v>1906</v>
      </c>
      <c r="L6" s="1741"/>
      <c r="M6" s="1742"/>
      <c r="N6" s="1742"/>
      <c r="O6" s="1742"/>
      <c r="P6" s="3253"/>
      <c r="Q6" s="3254"/>
      <c r="R6" s="3257"/>
      <c r="S6" s="3258"/>
      <c r="T6" s="3259"/>
      <c r="U6" s="3260"/>
      <c r="V6" s="3231"/>
      <c r="W6" s="3231"/>
      <c r="X6" s="1743"/>
      <c r="Y6" s="3259"/>
      <c r="Z6" s="3260"/>
      <c r="AA6" s="3244"/>
      <c r="AB6" s="3244"/>
      <c r="AC6" s="3244"/>
    </row>
    <row r="7" spans="1:29" s="1760" customFormat="1" ht="15.75" thickBot="1">
      <c r="A7" s="1750" t="s">
        <v>1907</v>
      </c>
      <c r="B7" s="1751"/>
      <c r="C7" s="1752">
        <f>'数据-取费表'!B2</f>
        <v>44826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65" t="s">
        <v>1908</v>
      </c>
      <c r="Q7" s="3267"/>
      <c r="R7" s="463" t="s">
        <v>14</v>
      </c>
      <c r="S7" s="1758">
        <f t="shared" ref="S7:S15" si="0">F7</f>
        <v>0</v>
      </c>
      <c r="T7" s="463" t="s">
        <v>14</v>
      </c>
      <c r="U7" s="1758">
        <f t="shared" ref="U7:U15" si="1">H7</f>
        <v>0</v>
      </c>
      <c r="V7" s="463" t="s">
        <v>14</v>
      </c>
      <c r="W7" s="1758">
        <f t="shared" ref="W7:W15" si="2">J7</f>
        <v>0</v>
      </c>
      <c r="X7" s="1759"/>
      <c r="Y7" s="3265" t="s">
        <v>1908</v>
      </c>
      <c r="Z7" s="3266"/>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65" t="s">
        <v>1911</v>
      </c>
      <c r="Q8" s="3266"/>
      <c r="R8" s="463" t="s">
        <v>14</v>
      </c>
      <c r="S8" s="1758">
        <f t="shared" si="0"/>
        <v>0</v>
      </c>
      <c r="T8" s="463" t="s">
        <v>14</v>
      </c>
      <c r="U8" s="1758">
        <f t="shared" si="1"/>
        <v>0</v>
      </c>
      <c r="V8" s="463" t="s">
        <v>14</v>
      </c>
      <c r="W8" s="1758">
        <f t="shared" si="2"/>
        <v>0</v>
      </c>
      <c r="X8" s="1759"/>
      <c r="Y8" s="3265" t="s">
        <v>1911</v>
      </c>
      <c r="Z8" s="3266"/>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10"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10"/>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1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10"/>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10"/>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10"/>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87"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31">
        <f>E41</f>
        <v>0</v>
      </c>
      <c r="S41" s="3231"/>
      <c r="T41" s="3231">
        <f>G41</f>
        <v>0</v>
      </c>
      <c r="U41" s="3231"/>
      <c r="V41" s="3231">
        <f>I41</f>
        <v>0</v>
      </c>
      <c r="W41" s="3231"/>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31" t="e">
        <f>ROUND(PRODUCT(R41,AA7:AA40),0)</f>
        <v>#DIV/0!</v>
      </c>
      <c r="S42" s="3231"/>
      <c r="T42" s="3231" t="e">
        <f>ROUND(PRODUCT(T41,AB7:AB40),0)</f>
        <v>#DIV/0!</v>
      </c>
      <c r="U42" s="3231"/>
      <c r="V42" s="3231" t="e">
        <f>ROUND(PRODUCT(V41,AC7:AC40),0)</f>
        <v>#DIV/0!</v>
      </c>
      <c r="W42" s="3231"/>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45" t="s">
        <v>2123</v>
      </c>
      <c r="H50" s="328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84272.48</v>
      </c>
      <c r="F51" s="2249" t="e">
        <f t="shared" ref="F51:F60" si="15">ROUND(B51*E51/10000,0)</f>
        <v>#DIV/0!</v>
      </c>
      <c r="G51" s="3241"/>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90" t="s">
        <v>2128</v>
      </c>
      <c r="H52" s="2222" t="str">
        <f>项目基本情况!B37</f>
        <v>六级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90"/>
      <c r="H53" s="2222" t="str">
        <f>项目基本情况!B37</f>
        <v>六级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90"/>
      <c r="H54" s="2222" t="str">
        <f>项目基本情况!B37</f>
        <v>六级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90"/>
      <c r="H55" s="2222" t="str">
        <f>项目基本情况!B37</f>
        <v>六级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0.15</v>
      </c>
      <c r="D58" s="2221">
        <v>0.25</v>
      </c>
      <c r="E58" s="1157">
        <f>'数据-汇总表'!E13</f>
        <v>0</v>
      </c>
      <c r="F58" s="2249" t="e">
        <f t="shared" si="15"/>
        <v>#DIV/0!</v>
      </c>
      <c r="G58" s="2225" t="s">
        <v>2137</v>
      </c>
      <c r="H58" s="2222" t="str">
        <f>IF(G58="商业",项目基本情况!B37,IF(G58="办公",项目基本情况!C37,IF(G58="住宅",项目基本情况!D37,项目基本情况!E37)))</f>
        <v>六级</v>
      </c>
      <c r="I58" s="1235">
        <f>SUMIF(修正!A57:A68,H58,修正!G57:G68)</f>
        <v>0.15</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六级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f>IF(B41="楼面地价",SUM(E51:E60),'数据-汇总表'!D3)</f>
        <v>52670.3</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"北京市平均增长率"&amp;TEXT('基准地价（商业）'!P28,"0.00%")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1F21F-4713-4D35-89E8-D0D4F146492E}">
  <sheetPr>
    <tabColor rgb="FF92D050"/>
  </sheetPr>
  <dimension ref="A1:AJ124"/>
  <sheetViews>
    <sheetView view="pageBreakPreview" topLeftCell="A28" zoomScale="90" zoomScaleNormal="80" zoomScaleSheetLayoutView="90" workbookViewId="0">
      <selection activeCell="B24" sqref="B2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12812</v>
      </c>
      <c r="C2" s="2266" t="s">
        <v>2172</v>
      </c>
      <c r="D2" s="473" t="s">
        <v>2173</v>
      </c>
      <c r="E2" s="2267" t="s">
        <v>3104</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Ⅵ-顺2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17355</v>
      </c>
      <c r="U2" s="2269">
        <v>10000</v>
      </c>
      <c r="V2" s="477">
        <f>ROUND(T2*U2/10000,0)</f>
        <v>17355</v>
      </c>
      <c r="W2" s="2262"/>
      <c r="X2" s="2262"/>
      <c r="Y2" s="2262"/>
      <c r="Z2" s="2262"/>
      <c r="AA2" s="2262"/>
      <c r="AB2" s="2262"/>
      <c r="AC2" s="2262"/>
      <c r="AD2" s="2263"/>
      <c r="AE2" s="2263"/>
      <c r="AF2" s="2263"/>
      <c r="AG2" s="2263"/>
      <c r="AH2" s="2263"/>
      <c r="AI2" s="2263"/>
      <c r="AJ2" s="2264"/>
    </row>
    <row r="3" spans="1:36" ht="15.75">
      <c r="A3" s="2265" t="s">
        <v>2177</v>
      </c>
      <c r="B3" s="2265">
        <f>ROUND(B2*10000/D1,0)</f>
        <v>12812</v>
      </c>
      <c r="C3" s="2266" t="s">
        <v>2178</v>
      </c>
      <c r="D3" s="473" t="s">
        <v>2179</v>
      </c>
      <c r="E3" s="2267" t="s">
        <v>3105</v>
      </c>
      <c r="F3" s="2270" t="s">
        <v>3100</v>
      </c>
      <c r="G3" s="2271">
        <f>'数据-汇总表'!I3</f>
        <v>1.6</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13680</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98"/>
      <c r="B4" s="3299"/>
      <c r="C4" s="3299"/>
      <c r="D4" s="3300"/>
      <c r="E4" s="3300"/>
      <c r="F4" s="3300"/>
      <c r="G4" s="3300"/>
      <c r="H4" s="3300"/>
      <c r="I4" s="3300"/>
      <c r="J4" s="330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11561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3011">
        <f>ROUND(IF(E2="商业",C6*C7*C17+C20,(IF(E2="住宅",C6*C13*C17+C20,IF(E2="办公",C6*C12*C17+C20,C6+C20)))),0)</f>
        <v>11038</v>
      </c>
      <c r="D5" s="2274">
        <f>ROUND(C6*C17+C20,0)</f>
        <v>10512</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10197</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13140</v>
      </c>
      <c r="D6" s="2285" t="s">
        <v>2188</v>
      </c>
      <c r="E6" s="2284"/>
      <c r="F6" s="2284"/>
      <c r="G6" s="2286"/>
      <c r="H6" s="2286"/>
      <c r="I6" s="2286"/>
      <c r="J6" s="2287"/>
      <c r="K6" s="1414"/>
      <c r="L6" s="2268" t="s">
        <v>2189</v>
      </c>
      <c r="M6" s="475">
        <f>SUMPRODUCT((区片价!B127:B189=I2)*(区片价!C3:G3=E2)*(区片价!C127:G189))</f>
        <v>13140</v>
      </c>
      <c r="N6" s="473">
        <f>SUMPRODUCT((因素修正幅度!B127:B189=I2)*(因素修正幅度!C3:G3=E2)*(因素修正幅度!C127:G189))</f>
        <v>0.1</v>
      </c>
      <c r="O6" s="2259"/>
      <c r="P6" s="2259"/>
      <c r="Q6" s="2259"/>
      <c r="R6" s="477">
        <v>5</v>
      </c>
      <c r="S6" s="477">
        <f>ROUND(SUMPRODUCT((B107:B111=R6)*(C106:N106=G2)*(C107:N111)),4)</f>
        <v>0.84799999999999998</v>
      </c>
      <c r="T6" s="477">
        <f t="shared" si="0"/>
        <v>9799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300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3009" t="s">
        <v>2193</v>
      </c>
      <c r="X7" s="498" t="str">
        <f>G2</f>
        <v>六级</v>
      </c>
      <c r="Y7" s="498" t="s">
        <v>2194</v>
      </c>
      <c r="Z7" s="498">
        <f>G3</f>
        <v>1.6</v>
      </c>
      <c r="AA7" s="2262"/>
      <c r="AB7" s="2262"/>
      <c r="AC7" s="2262"/>
      <c r="AD7" s="2263"/>
      <c r="AE7" s="2263"/>
      <c r="AF7" s="2263"/>
      <c r="AG7" s="2263"/>
      <c r="AH7" s="2263"/>
      <c r="AI7" s="2263"/>
      <c r="AJ7" s="2264"/>
    </row>
    <row r="8" spans="1:36" ht="25.5">
      <c r="A8" s="2294"/>
      <c r="B8" s="473" t="s">
        <v>2195</v>
      </c>
      <c r="C8" s="2267" t="s">
        <v>3101</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302" t="s">
        <v>2198</v>
      </c>
      <c r="X8" s="330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30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30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1.05</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3002" t="s">
        <v>2223</v>
      </c>
      <c r="C14" s="2321" t="s">
        <v>2224</v>
      </c>
      <c r="D14" s="300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3003"/>
      <c r="C15" s="2324"/>
      <c r="D15" s="2325" t="s">
        <v>3107</v>
      </c>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1.05</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0.8</v>
      </c>
      <c r="D17" s="2337" t="s">
        <v>2820</v>
      </c>
      <c r="E17" s="2289">
        <f>ROUND(G18/I18,2)</f>
        <v>1</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70</v>
      </c>
      <c r="F18" s="481" t="s">
        <v>3078</v>
      </c>
      <c r="G18" s="481">
        <f>ROUND(1-(1/(POWER(1+G24,E18))),4)</f>
        <v>0.96709999999999996</v>
      </c>
      <c r="H18" s="481" t="s">
        <v>3079</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3004" t="s">
        <v>2233</v>
      </c>
      <c r="C20" s="3004">
        <f>ROUND(IF(F21="与级别开发程度一致",0,(G21-E21)/C21),0)</f>
        <v>0</v>
      </c>
      <c r="D20" s="3304" t="s">
        <v>2237</v>
      </c>
      <c r="E20" s="3305"/>
      <c r="F20" s="3304" t="s">
        <v>2234</v>
      </c>
      <c r="G20" s="3305"/>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3102</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44826</v>
      </c>
      <c r="H23" s="2361" t="s">
        <v>3103</v>
      </c>
      <c r="I23" s="2360" t="str">
        <f>IF(H23="季度增幅（自定义）",SUMIF(N25:N28,E2,O25:O28),"")</f>
        <v/>
      </c>
      <c r="J23" s="2982" t="s">
        <v>3091</v>
      </c>
      <c r="K23" s="2346"/>
      <c r="L23" s="2362" t="s">
        <v>2243</v>
      </c>
      <c r="M23" s="488">
        <f>ROUND(SUMIF(地价!B2:G2,E2,地价!B13:G13),0)</f>
        <v>718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f>项目基本情况!D15</f>
        <v>70</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1.1087</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1.1087</v>
      </c>
      <c r="E26" s="493">
        <f>ROUNDDOWN(G3,1)</f>
        <v>1.6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493">
        <f>ROUNDUP(G3,1)</f>
        <v>1.6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12812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12812</v>
      </c>
      <c r="D33" s="2420">
        <v>10000</v>
      </c>
      <c r="E33" s="3008">
        <f>ROUND(C33*D33/10000,0)</f>
        <v>12812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5" customHeight="1" thickBot="1">
      <c r="A34" s="2349"/>
      <c r="B34" s="485" t="s">
        <v>2270</v>
      </c>
      <c r="C34" s="497">
        <f>ROUND(IF(E2="工业",C33*M42,IF(B25="楼层修正",SUM(V2:V16)*M41*10000/D34,C33*M41)),0)</f>
        <v>3203</v>
      </c>
      <c r="D34" s="2427"/>
      <c r="E34" s="3008">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300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95"/>
      <c r="B37" s="2439" t="s">
        <v>2275</v>
      </c>
      <c r="C37" s="495">
        <f>ROUND(D5*C22*C23*C24*C28*F37,0)</f>
        <v>6603</v>
      </c>
      <c r="D37" s="2420"/>
      <c r="E37" s="473">
        <f>ROUND(C37*D37/10000,0)</f>
        <v>0</v>
      </c>
      <c r="F37" s="473">
        <f>SUMIF(修正!A57:A68,G2,修正!B57:B68)</f>
        <v>0.6</v>
      </c>
      <c r="G37" s="473">
        <f>ROUND(IF(E2="工业",C37*$M$42,C37*$M$41),0)</f>
        <v>1651</v>
      </c>
      <c r="H37" s="473">
        <f>D37</f>
        <v>0</v>
      </c>
      <c r="I37" s="473">
        <f>ROUND(G37*H37/10000,0)</f>
        <v>0</v>
      </c>
      <c r="J37" s="329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96"/>
      <c r="B38" s="2321" t="s">
        <v>2276</v>
      </c>
      <c r="C38" s="495">
        <f>ROUND(D5*C22*C23*C24*C28*F38,0)</f>
        <v>3302</v>
      </c>
      <c r="D38" s="2420"/>
      <c r="E38" s="473">
        <f t="shared" ref="E38:E42" si="4">ROUND(C38*D38/10000,0)</f>
        <v>0</v>
      </c>
      <c r="F38" s="473">
        <f>SUMIF(修正!A57:A68,G2,修正!C57:C68)</f>
        <v>0.3</v>
      </c>
      <c r="G38" s="473">
        <f>ROUND(IF(E2="工业",C38*$M$42,C38*$M$41),0)</f>
        <v>826</v>
      </c>
      <c r="H38" s="473">
        <f t="shared" ref="H38:H42" si="5">D38</f>
        <v>0</v>
      </c>
      <c r="I38" s="473">
        <f t="shared" ref="I38:I42" si="6">ROUND(G38*H38/10000,0)</f>
        <v>0</v>
      </c>
      <c r="J38" s="329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96"/>
      <c r="B39" s="2321" t="s">
        <v>2940</v>
      </c>
      <c r="C39" s="495">
        <f>ROUND(D5*C22*C23*C24*C28*F39,0)</f>
        <v>2751</v>
      </c>
      <c r="D39" s="2420"/>
      <c r="E39" s="473">
        <f t="shared" si="4"/>
        <v>0</v>
      </c>
      <c r="F39" s="473">
        <f>SUMIF(修正!A57:A68,G2,修正!D57:D68)</f>
        <v>0.25</v>
      </c>
      <c r="G39" s="473">
        <f>ROUND(IF(E2="工业",C39*$M$42,C39*$M$41),0)</f>
        <v>688</v>
      </c>
      <c r="H39" s="473">
        <f t="shared" si="5"/>
        <v>0</v>
      </c>
      <c r="I39" s="473">
        <f t="shared" si="6"/>
        <v>0</v>
      </c>
      <c r="J39" s="329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2751</v>
      </c>
      <c r="D40" s="2420"/>
      <c r="E40" s="473">
        <f t="shared" si="4"/>
        <v>0</v>
      </c>
      <c r="F40" s="495">
        <f>SUMIF(修正!A57:A68,G2,修正!E57:E68)</f>
        <v>0.25</v>
      </c>
      <c r="G40" s="473">
        <f>ROUND(IF(E2="工业",C40*$M$42,C40*$M$41),0)</f>
        <v>688</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3001">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3001" t="s">
        <v>2284</v>
      </c>
      <c r="C50" s="3001" t="s">
        <v>2285</v>
      </c>
      <c r="D50" s="3001" t="s">
        <v>2286</v>
      </c>
      <c r="E50" s="2414" t="s">
        <v>2287</v>
      </c>
      <c r="F50" s="2456" t="s">
        <v>2288</v>
      </c>
      <c r="G50" s="2457" t="s">
        <v>517</v>
      </c>
      <c r="H50" s="502" t="s">
        <v>2289</v>
      </c>
      <c r="I50" s="3001" t="s">
        <v>2290</v>
      </c>
      <c r="J50" s="3000" t="s">
        <v>1956</v>
      </c>
      <c r="K50" s="3000" t="s">
        <v>1957</v>
      </c>
      <c r="L50" s="3000" t="s">
        <v>1958</v>
      </c>
      <c r="M50" s="3000" t="s">
        <v>1959</v>
      </c>
      <c r="N50" s="3000" t="s">
        <v>1960</v>
      </c>
    </row>
    <row r="51" spans="1:14" s="2259" customFormat="1" ht="38.25">
      <c r="A51" s="2455" t="s">
        <v>2291</v>
      </c>
      <c r="B51" s="3001" t="str">
        <f>估价对象房地状况!C4</f>
        <v>估价对象位于XX商圈，周边商业氛围成熟，人流量大，商业繁华度好</v>
      </c>
      <c r="C51" s="2325"/>
      <c r="D51" s="3001">
        <f t="shared" ref="D51:D59" si="7">SUMIF($J$50:$N$50,C51,J51:N51)</f>
        <v>0</v>
      </c>
      <c r="E51" s="2458">
        <f>ROUND(SUM(D51:D59),4)</f>
        <v>0</v>
      </c>
      <c r="F51" s="2329" t="str">
        <f>IF(E2="商业",SUMIF(L1:L12,G2,N1:N12),"——")</f>
        <v>——</v>
      </c>
      <c r="G51" s="2459"/>
      <c r="H51" s="2460" t="str">
        <f t="shared" ref="H51:H59" si="8">IFERROR(ROUNDDOWN($F$51*I51/2,4),"——")</f>
        <v>——</v>
      </c>
      <c r="I51" s="3001">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3001" t="str">
        <f>估价对象房地状况!C18</f>
        <v>估价对象周边道路状况、公共交通通达情况、停车便捷程度，综合评价交通便捷度较好</v>
      </c>
      <c r="C52" s="2325"/>
      <c r="D52" s="3001">
        <f t="shared" si="7"/>
        <v>0</v>
      </c>
      <c r="E52" s="2461"/>
      <c r="F52" s="2402"/>
      <c r="G52" s="2459"/>
      <c r="H52" s="2460" t="str">
        <f t="shared" si="8"/>
        <v>——</v>
      </c>
      <c r="I52" s="3001">
        <v>0.22</v>
      </c>
      <c r="J52" s="493">
        <f t="shared" si="9"/>
        <v>0</v>
      </c>
      <c r="K52" s="493">
        <f t="shared" si="10"/>
        <v>0</v>
      </c>
      <c r="L52" s="493">
        <v>0</v>
      </c>
      <c r="M52" s="493">
        <f t="shared" si="11"/>
        <v>0</v>
      </c>
      <c r="N52" s="493">
        <f t="shared" si="11"/>
        <v>0</v>
      </c>
    </row>
    <row r="53" spans="1:14" s="2259" customFormat="1" ht="36">
      <c r="A53" s="2462" t="s">
        <v>2814</v>
      </c>
      <c r="B53" s="3001">
        <f>估价对象房地状况!C19</f>
        <v>0</v>
      </c>
      <c r="C53" s="2325"/>
      <c r="D53" s="3001">
        <f t="shared" si="7"/>
        <v>0</v>
      </c>
      <c r="E53" s="2461"/>
      <c r="F53" s="2402"/>
      <c r="G53" s="2459"/>
      <c r="H53" s="2460" t="str">
        <f t="shared" si="8"/>
        <v>——</v>
      </c>
      <c r="I53" s="3001">
        <v>0.12</v>
      </c>
      <c r="J53" s="493">
        <f t="shared" si="9"/>
        <v>0</v>
      </c>
      <c r="K53" s="493">
        <f t="shared" si="10"/>
        <v>0</v>
      </c>
      <c r="L53" s="493">
        <v>0</v>
      </c>
      <c r="M53" s="493">
        <f t="shared" si="11"/>
        <v>0</v>
      </c>
      <c r="N53" s="493">
        <f t="shared" si="11"/>
        <v>0</v>
      </c>
    </row>
    <row r="54" spans="1:14" s="2259" customFormat="1" ht="36.75">
      <c r="A54" s="2455" t="s">
        <v>2293</v>
      </c>
      <c r="B54" s="2463" t="s">
        <v>2294</v>
      </c>
      <c r="C54" s="2325"/>
      <c r="D54" s="3001">
        <f t="shared" si="7"/>
        <v>0</v>
      </c>
      <c r="E54" s="2461"/>
      <c r="F54" s="2402"/>
      <c r="G54" s="2459"/>
      <c r="H54" s="2460" t="str">
        <f t="shared" si="8"/>
        <v>——</v>
      </c>
      <c r="I54" s="3001">
        <v>0.05</v>
      </c>
      <c r="J54" s="493">
        <f t="shared" si="9"/>
        <v>0</v>
      </c>
      <c r="K54" s="493">
        <f t="shared" si="10"/>
        <v>0</v>
      </c>
      <c r="L54" s="493">
        <v>0</v>
      </c>
      <c r="M54" s="493">
        <f t="shared" si="11"/>
        <v>0</v>
      </c>
      <c r="N54" s="493">
        <f t="shared" si="11"/>
        <v>0</v>
      </c>
    </row>
    <row r="55" spans="1:14" s="2259" customFormat="1" ht="24">
      <c r="A55" s="2455" t="s">
        <v>2295</v>
      </c>
      <c r="B55" s="3001">
        <f>估价对象房地状况!C24</f>
        <v>0</v>
      </c>
      <c r="C55" s="2325"/>
      <c r="D55" s="3001">
        <f t="shared" si="7"/>
        <v>0</v>
      </c>
      <c r="E55" s="2461"/>
      <c r="F55" s="2402"/>
      <c r="G55" s="2459"/>
      <c r="H55" s="2460" t="str">
        <f t="shared" si="8"/>
        <v>——</v>
      </c>
      <c r="I55" s="3001">
        <v>0.08</v>
      </c>
      <c r="J55" s="493">
        <f t="shared" si="9"/>
        <v>0</v>
      </c>
      <c r="K55" s="493">
        <f t="shared" si="10"/>
        <v>0</v>
      </c>
      <c r="L55" s="493">
        <v>0</v>
      </c>
      <c r="M55" s="493">
        <f t="shared" si="11"/>
        <v>0</v>
      </c>
      <c r="N55" s="493">
        <f t="shared" si="11"/>
        <v>0</v>
      </c>
    </row>
    <row r="56" spans="1:14" s="2259" customFormat="1" ht="24">
      <c r="A56" s="2455" t="s">
        <v>2296</v>
      </c>
      <c r="B56" s="2464" t="s">
        <v>2297</v>
      </c>
      <c r="C56" s="2325"/>
      <c r="D56" s="3001">
        <f t="shared" si="7"/>
        <v>0</v>
      </c>
      <c r="E56" s="2461"/>
      <c r="F56" s="2402"/>
      <c r="G56" s="2459"/>
      <c r="H56" s="2460" t="str">
        <f t="shared" si="8"/>
        <v>——</v>
      </c>
      <c r="I56" s="3001">
        <v>0.05</v>
      </c>
      <c r="J56" s="493">
        <f t="shared" si="9"/>
        <v>0</v>
      </c>
      <c r="K56" s="493">
        <f t="shared" si="10"/>
        <v>0</v>
      </c>
      <c r="L56" s="493">
        <v>0</v>
      </c>
      <c r="M56" s="493">
        <f t="shared" si="11"/>
        <v>0</v>
      </c>
      <c r="N56" s="493">
        <f t="shared" si="11"/>
        <v>0</v>
      </c>
    </row>
    <row r="57" spans="1:14" s="2259" customFormat="1" ht="25.5">
      <c r="A57" s="2465" t="s">
        <v>2298</v>
      </c>
      <c r="B57" s="3002" t="str">
        <f>估价对象房地状况!C21</f>
        <v>估价对象所在区域公共配套设施齐备情况</v>
      </c>
      <c r="C57" s="2325"/>
      <c r="D57" s="3001">
        <f t="shared" si="7"/>
        <v>0</v>
      </c>
      <c r="E57" s="2461"/>
      <c r="F57" s="2402"/>
      <c r="G57" s="2459"/>
      <c r="H57" s="2460" t="str">
        <f t="shared" si="8"/>
        <v>——</v>
      </c>
      <c r="I57" s="3001">
        <v>0.05</v>
      </c>
      <c r="J57" s="493">
        <f t="shared" si="9"/>
        <v>0</v>
      </c>
      <c r="K57" s="493">
        <f t="shared" si="10"/>
        <v>0</v>
      </c>
      <c r="L57" s="493">
        <v>0</v>
      </c>
      <c r="M57" s="493">
        <f t="shared" si="11"/>
        <v>0</v>
      </c>
      <c r="N57" s="493">
        <f t="shared" si="11"/>
        <v>0</v>
      </c>
    </row>
    <row r="58" spans="1:14" s="2259" customFormat="1" ht="24">
      <c r="A58" s="2465" t="s">
        <v>2299</v>
      </c>
      <c r="B58" s="3001" t="str">
        <f>估价对象房地状况!C22</f>
        <v>估价对象所在区域基础设施水平</v>
      </c>
      <c r="C58" s="2325"/>
      <c r="D58" s="3001">
        <f t="shared" si="7"/>
        <v>0</v>
      </c>
      <c r="E58" s="2461"/>
      <c r="F58" s="2402"/>
      <c r="G58" s="2459"/>
      <c r="H58" s="2460" t="str">
        <f t="shared" si="8"/>
        <v>——</v>
      </c>
      <c r="I58" s="3001">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3001">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3001"/>
      <c r="C61" s="3001" t="s">
        <v>2285</v>
      </c>
      <c r="D61" s="3001" t="s">
        <v>2286</v>
      </c>
      <c r="E61" s="2414" t="s">
        <v>2287</v>
      </c>
      <c r="F61" s="2456" t="s">
        <v>2302</v>
      </c>
      <c r="G61" s="3001" t="s">
        <v>517</v>
      </c>
      <c r="H61" s="502" t="s">
        <v>2289</v>
      </c>
      <c r="I61" s="3001" t="s">
        <v>2290</v>
      </c>
      <c r="J61" s="3000" t="s">
        <v>1956</v>
      </c>
      <c r="K61" s="3000" t="s">
        <v>1957</v>
      </c>
      <c r="L61" s="3000" t="s">
        <v>1958</v>
      </c>
      <c r="M61" s="3000" t="s">
        <v>1959</v>
      </c>
      <c r="N61" s="3000" t="s">
        <v>1960</v>
      </c>
    </row>
    <row r="62" spans="1:14" s="2259" customFormat="1" ht="38.25">
      <c r="A62" s="2455" t="s">
        <v>2303</v>
      </c>
      <c r="B62" s="3001" t="str">
        <f>估价对象房地状况!C17</f>
        <v>估价对象位于XX商圈，周边办公楼项目较多，入驻率高，办公集聚程度较好</v>
      </c>
      <c r="C62" s="2325"/>
      <c r="D62" s="3001">
        <f>SUMIF($J$61:$N$61,C62,J62:N62)</f>
        <v>0</v>
      </c>
      <c r="E62" s="2458">
        <f>ROUND(SUM(D62:D70),4)</f>
        <v>0</v>
      </c>
      <c r="F62" s="2329" t="str">
        <f>IF(E2="办公",SUMIF(L1:L12,G2,N1:N12),"——")</f>
        <v>——</v>
      </c>
      <c r="G62" s="2459"/>
      <c r="H62" s="2460" t="str">
        <f t="shared" ref="H62:H70" si="12">IFERROR(ROUNDDOWN($F$62*I62/2,4),"——")</f>
        <v>——</v>
      </c>
      <c r="I62" s="3001">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3001" t="str">
        <f>估价对象房地状况!C18</f>
        <v>估价对象周边道路状况、公共交通通达情况、停车便捷程度，综合评价交通便捷度较好</v>
      </c>
      <c r="C63" s="2325"/>
      <c r="D63" s="3001">
        <f t="shared" ref="D63:D70" si="16">SUMIF($J$61:$N$61,C63,J63:N63)</f>
        <v>0</v>
      </c>
      <c r="E63" s="2461"/>
      <c r="F63" s="2402"/>
      <c r="G63" s="2459"/>
      <c r="H63" s="2460" t="str">
        <f t="shared" si="12"/>
        <v>——</v>
      </c>
      <c r="I63" s="3001">
        <v>0.26</v>
      </c>
      <c r="J63" s="493">
        <f t="shared" si="13"/>
        <v>0</v>
      </c>
      <c r="K63" s="493">
        <f t="shared" si="14"/>
        <v>0</v>
      </c>
      <c r="L63" s="493">
        <v>0</v>
      </c>
      <c r="M63" s="493">
        <f t="shared" si="15"/>
        <v>0</v>
      </c>
      <c r="N63" s="493">
        <f t="shared" si="15"/>
        <v>0</v>
      </c>
    </row>
    <row r="64" spans="1:14" s="2259" customFormat="1" ht="36">
      <c r="A64" s="2462" t="s">
        <v>2814</v>
      </c>
      <c r="B64" s="3001">
        <f>估价对象房地状况!C19</f>
        <v>0</v>
      </c>
      <c r="C64" s="2325"/>
      <c r="D64" s="3001">
        <f t="shared" si="16"/>
        <v>0</v>
      </c>
      <c r="E64" s="2461"/>
      <c r="F64" s="2402"/>
      <c r="G64" s="2459"/>
      <c r="H64" s="2460" t="str">
        <f t="shared" si="12"/>
        <v>——</v>
      </c>
      <c r="I64" s="3001">
        <v>0.11</v>
      </c>
      <c r="J64" s="493">
        <f t="shared" si="13"/>
        <v>0</v>
      </c>
      <c r="K64" s="493">
        <f t="shared" si="14"/>
        <v>0</v>
      </c>
      <c r="L64" s="493">
        <v>0</v>
      </c>
      <c r="M64" s="493">
        <f t="shared" si="15"/>
        <v>0</v>
      </c>
      <c r="N64" s="493">
        <f t="shared" si="15"/>
        <v>0</v>
      </c>
    </row>
    <row r="65" spans="1:33" s="2259" customFormat="1" ht="36.75">
      <c r="A65" s="2455" t="s">
        <v>2293</v>
      </c>
      <c r="B65" s="2463" t="s">
        <v>2294</v>
      </c>
      <c r="C65" s="2325"/>
      <c r="D65" s="3001">
        <f t="shared" si="16"/>
        <v>0</v>
      </c>
      <c r="E65" s="2461"/>
      <c r="F65" s="2402"/>
      <c r="G65" s="2459"/>
      <c r="H65" s="2460" t="str">
        <f t="shared" si="12"/>
        <v>——</v>
      </c>
      <c r="I65" s="3001">
        <v>0.05</v>
      </c>
      <c r="J65" s="493">
        <f t="shared" si="13"/>
        <v>0</v>
      </c>
      <c r="K65" s="493">
        <f t="shared" si="14"/>
        <v>0</v>
      </c>
      <c r="L65" s="493">
        <v>0</v>
      </c>
      <c r="M65" s="493">
        <f t="shared" si="15"/>
        <v>0</v>
      </c>
      <c r="N65" s="493">
        <f t="shared" si="15"/>
        <v>0</v>
      </c>
    </row>
    <row r="66" spans="1:33" s="2259" customFormat="1" ht="24">
      <c r="A66" s="2455" t="s">
        <v>2295</v>
      </c>
      <c r="B66" s="3001">
        <f>估价对象房地状况!C24</f>
        <v>0</v>
      </c>
      <c r="C66" s="2325"/>
      <c r="D66" s="3001">
        <f t="shared" si="16"/>
        <v>0</v>
      </c>
      <c r="E66" s="2461"/>
      <c r="F66" s="2402"/>
      <c r="G66" s="2459"/>
      <c r="H66" s="2460" t="str">
        <f t="shared" si="12"/>
        <v>——</v>
      </c>
      <c r="I66" s="3001">
        <v>0.05</v>
      </c>
      <c r="J66" s="493">
        <f t="shared" si="13"/>
        <v>0</v>
      </c>
      <c r="K66" s="493">
        <f t="shared" si="14"/>
        <v>0</v>
      </c>
      <c r="L66" s="493">
        <v>0</v>
      </c>
      <c r="M66" s="493">
        <f t="shared" si="15"/>
        <v>0</v>
      </c>
      <c r="N66" s="493">
        <f t="shared" si="15"/>
        <v>0</v>
      </c>
    </row>
    <row r="67" spans="1:33" s="2259" customFormat="1" ht="24">
      <c r="A67" s="2455" t="s">
        <v>2296</v>
      </c>
      <c r="B67" s="2464" t="s">
        <v>2297</v>
      </c>
      <c r="C67" s="2325"/>
      <c r="D67" s="3001">
        <f t="shared" si="16"/>
        <v>0</v>
      </c>
      <c r="E67" s="2461"/>
      <c r="F67" s="2402"/>
      <c r="G67" s="2459"/>
      <c r="H67" s="2460" t="str">
        <f t="shared" si="12"/>
        <v>——</v>
      </c>
      <c r="I67" s="3001">
        <v>0.06</v>
      </c>
      <c r="J67" s="493">
        <f t="shared" si="13"/>
        <v>0</v>
      </c>
      <c r="K67" s="493">
        <f t="shared" si="14"/>
        <v>0</v>
      </c>
      <c r="L67" s="493">
        <v>0</v>
      </c>
      <c r="M67" s="493">
        <f t="shared" si="15"/>
        <v>0</v>
      </c>
      <c r="N67" s="493">
        <f t="shared" si="15"/>
        <v>0</v>
      </c>
    </row>
    <row r="68" spans="1:33" s="2259" customFormat="1" ht="25.5">
      <c r="A68" s="2455" t="s">
        <v>2298</v>
      </c>
      <c r="B68" s="3002" t="str">
        <f>估价对象房地状况!C21</f>
        <v>估价对象所在区域公共配套设施齐备情况</v>
      </c>
      <c r="C68" s="2325"/>
      <c r="D68" s="3001">
        <f t="shared" si="16"/>
        <v>0</v>
      </c>
      <c r="E68" s="2461"/>
      <c r="F68" s="2402"/>
      <c r="G68" s="2459"/>
      <c r="H68" s="2460" t="str">
        <f t="shared" si="12"/>
        <v>——</v>
      </c>
      <c r="I68" s="3001">
        <v>0.06</v>
      </c>
      <c r="J68" s="493">
        <f t="shared" si="13"/>
        <v>0</v>
      </c>
      <c r="K68" s="493">
        <f t="shared" si="14"/>
        <v>0</v>
      </c>
      <c r="L68" s="493">
        <v>0</v>
      </c>
      <c r="M68" s="493">
        <f t="shared" si="15"/>
        <v>0</v>
      </c>
      <c r="N68" s="493">
        <f t="shared" si="15"/>
        <v>0</v>
      </c>
    </row>
    <row r="69" spans="1:33" s="2259" customFormat="1" ht="24">
      <c r="A69" s="2455" t="s">
        <v>2299</v>
      </c>
      <c r="B69" s="3002" t="str">
        <f>估价对象房地状况!C22</f>
        <v>估价对象所在区域基础设施水平</v>
      </c>
      <c r="C69" s="2325"/>
      <c r="D69" s="3001">
        <f t="shared" si="16"/>
        <v>0</v>
      </c>
      <c r="E69" s="2461"/>
      <c r="F69" s="2402"/>
      <c r="G69" s="2459"/>
      <c r="H69" s="2460" t="str">
        <f t="shared" si="12"/>
        <v>——</v>
      </c>
      <c r="I69" s="3001">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3001">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3001"/>
      <c r="C72" s="3001" t="s">
        <v>2285</v>
      </c>
      <c r="D72" s="3001" t="s">
        <v>2286</v>
      </c>
      <c r="E72" s="2414" t="s">
        <v>2287</v>
      </c>
      <c r="F72" s="2456" t="s">
        <v>2302</v>
      </c>
      <c r="G72" s="3001" t="s">
        <v>517</v>
      </c>
      <c r="H72" s="502" t="s">
        <v>2289</v>
      </c>
      <c r="I72" s="3001" t="s">
        <v>2290</v>
      </c>
      <c r="J72" s="3000" t="s">
        <v>1956</v>
      </c>
      <c r="K72" s="3000" t="s">
        <v>1957</v>
      </c>
      <c r="L72" s="3000" t="s">
        <v>1958</v>
      </c>
      <c r="M72" s="3000" t="s">
        <v>1959</v>
      </c>
      <c r="N72" s="3000" t="s">
        <v>1960</v>
      </c>
    </row>
    <row r="73" spans="1:33" s="2259" customFormat="1" ht="51">
      <c r="A73" s="2462" t="s">
        <v>2816</v>
      </c>
      <c r="B73" s="3001" t="str">
        <f>估价对象房地状况!C15</f>
        <v>估价对象周边居住用地比例、居住小区规模和社区发展完善程度，综合评价居住社区成熟度一般</v>
      </c>
      <c r="C73" s="2325"/>
      <c r="D73" s="3001">
        <f t="shared" ref="D73:D81" si="17">SUMIF($J$72:$N$72,C73,J73:N73)</f>
        <v>0</v>
      </c>
      <c r="E73" s="2458">
        <f>ROUND(SUM(D73:D81),4)</f>
        <v>0</v>
      </c>
      <c r="F73" s="2329">
        <f>IF(E2="住宅",SUMIF(L1:L12,G2,N1:N12),"——")</f>
        <v>0.1</v>
      </c>
      <c r="G73" s="2459"/>
      <c r="H73" s="2460">
        <f t="shared" ref="H73:H81" si="18">IFERROR(ROUNDDOWN($F$73*I73/2,4),"——")</f>
        <v>0.01</v>
      </c>
      <c r="I73" s="3001">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3001" t="str">
        <f>估价对象房地状况!C18</f>
        <v>估价对象周边道路状况、公共交通通达情况、停车便捷程度，综合评价交通便捷度较好</v>
      </c>
      <c r="C74" s="2325"/>
      <c r="D74" s="3001">
        <f t="shared" si="17"/>
        <v>0</v>
      </c>
      <c r="E74" s="2461"/>
      <c r="F74" s="2329"/>
      <c r="G74" s="2459"/>
      <c r="H74" s="2460">
        <f t="shared" si="18"/>
        <v>1.2999999999999999E-2</v>
      </c>
      <c r="I74" s="3001">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3001">
        <f>估价对象房地状况!C19</f>
        <v>0</v>
      </c>
      <c r="C75" s="2325"/>
      <c r="D75" s="3001">
        <f t="shared" si="17"/>
        <v>0</v>
      </c>
      <c r="E75" s="2461"/>
      <c r="F75" s="2329"/>
      <c r="G75" s="2459"/>
      <c r="H75" s="2460">
        <f t="shared" si="18"/>
        <v>5.0000000000000001E-3</v>
      </c>
      <c r="I75" s="3001">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3001">
        <f>估价对象房地状况!C24</f>
        <v>0</v>
      </c>
      <c r="C76" s="2325"/>
      <c r="D76" s="3001">
        <f t="shared" si="17"/>
        <v>0</v>
      </c>
      <c r="E76" s="2461"/>
      <c r="F76" s="2329"/>
      <c r="G76" s="2459"/>
      <c r="H76" s="2460">
        <f t="shared" si="18"/>
        <v>2.5000000000000001E-3</v>
      </c>
      <c r="I76" s="3001">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3002" t="str">
        <f>估价对象房地状况!C21</f>
        <v>估价对象所在区域公共配套设施齐备情况</v>
      </c>
      <c r="C77" s="2325"/>
      <c r="D77" s="3001">
        <f t="shared" si="17"/>
        <v>0</v>
      </c>
      <c r="E77" s="2461"/>
      <c r="F77" s="2329"/>
      <c r="G77" s="2459"/>
      <c r="H77" s="2460">
        <f t="shared" si="18"/>
        <v>4.0000000000000001E-3</v>
      </c>
      <c r="I77" s="3001">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3002" t="str">
        <f>估价对象房地状况!C22</f>
        <v>估价对象所在区域基础设施水平</v>
      </c>
      <c r="C78" s="2325"/>
      <c r="D78" s="3001">
        <f t="shared" si="17"/>
        <v>0</v>
      </c>
      <c r="E78" s="2461"/>
      <c r="F78" s="2329"/>
      <c r="G78" s="2459"/>
      <c r="H78" s="2460">
        <f t="shared" si="18"/>
        <v>4.4999999999999997E-3</v>
      </c>
      <c r="I78" s="3001">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3001">
        <f t="shared" si="17"/>
        <v>0</v>
      </c>
      <c r="E79" s="2461"/>
      <c r="F79" s="2329"/>
      <c r="G79" s="2459"/>
      <c r="H79" s="2460">
        <f t="shared" si="18"/>
        <v>2.5000000000000001E-3</v>
      </c>
      <c r="I79" s="3001">
        <v>0.05</v>
      </c>
      <c r="J79" s="493">
        <f t="shared" si="19"/>
        <v>0</v>
      </c>
      <c r="K79" s="493">
        <f t="shared" si="20"/>
        <v>0</v>
      </c>
      <c r="L79" s="493">
        <v>0</v>
      </c>
      <c r="M79" s="493">
        <f t="shared" si="21"/>
        <v>0</v>
      </c>
      <c r="N79" s="493">
        <f t="shared" si="21"/>
        <v>0</v>
      </c>
      <c r="AA79" s="2261"/>
      <c r="AG79" s="2259"/>
    </row>
    <row r="80" spans="1:33" ht="25.5">
      <c r="A80" s="2455" t="s">
        <v>2300</v>
      </c>
      <c r="B80" s="3001" t="str">
        <f>估价对象房地状况!C20</f>
        <v>区域自然环境：；人文环境；综合评价环境状况一般</v>
      </c>
      <c r="C80" s="2325"/>
      <c r="D80" s="3001">
        <f t="shared" si="17"/>
        <v>0</v>
      </c>
      <c r="E80" s="2461"/>
      <c r="F80" s="2329"/>
      <c r="G80" s="2459"/>
      <c r="H80" s="2460">
        <f t="shared" si="18"/>
        <v>6.0000000000000001E-3</v>
      </c>
      <c r="I80" s="3001">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3001">
        <f t="shared" si="17"/>
        <v>0</v>
      </c>
      <c r="E81" s="487"/>
      <c r="F81" s="2329"/>
      <c r="G81" s="2459"/>
      <c r="H81" s="2460">
        <f t="shared" si="18"/>
        <v>2.5000000000000001E-3</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3001"/>
      <c r="C83" s="3001" t="s">
        <v>2285</v>
      </c>
      <c r="D83" s="3001" t="s">
        <v>2286</v>
      </c>
      <c r="E83" s="2414" t="s">
        <v>2287</v>
      </c>
      <c r="F83" s="2456" t="s">
        <v>2302</v>
      </c>
      <c r="G83" s="3001" t="s">
        <v>517</v>
      </c>
      <c r="H83" s="502" t="s">
        <v>2289</v>
      </c>
      <c r="I83" s="3001" t="s">
        <v>2290</v>
      </c>
      <c r="J83" s="3000" t="s">
        <v>1956</v>
      </c>
      <c r="K83" s="3000" t="s">
        <v>1957</v>
      </c>
      <c r="L83" s="3000" t="s">
        <v>1958</v>
      </c>
      <c r="M83" s="3000" t="s">
        <v>1959</v>
      </c>
      <c r="N83" s="3000" t="s">
        <v>1960</v>
      </c>
      <c r="AA83" s="2261"/>
      <c r="AG83" s="2259"/>
    </row>
    <row r="84" spans="1:33" ht="25.5">
      <c r="A84" s="2455" t="s">
        <v>2308</v>
      </c>
      <c r="B84" s="3001" t="str">
        <f>估价对象房地状况!G15</f>
        <v>估价对象位于XX开发区，园区建设成熟度XX，产业集聚程度XX</v>
      </c>
      <c r="C84" s="2325"/>
      <c r="D84" s="3001">
        <f t="shared" ref="D84:D91" si="22">SUMIF($J$83:$N$83,C84,J84:N84)</f>
        <v>0</v>
      </c>
      <c r="E84" s="2458">
        <f>ROUND(SUM(D84:D91),4)</f>
        <v>0</v>
      </c>
      <c r="F84" s="2329" t="str">
        <f>IF(E2="工业",SUMIF(L1:L12,G2,N1:N12),"——")</f>
        <v>——</v>
      </c>
      <c r="G84" s="2459"/>
      <c r="H84" s="2460" t="str">
        <f t="shared" ref="H84:H91" si="23">IFERROR(ROUNDDOWN($F$84*I84/2,4),"——")</f>
        <v>——</v>
      </c>
      <c r="I84" s="3001">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3001" t="str">
        <f>估价对象房地状况!G16</f>
        <v>估价对象周边道路状况、公共交通通达情况、停车便捷程度，综合评价交通便捷度较好</v>
      </c>
      <c r="C85" s="2325"/>
      <c r="D85" s="3001">
        <f t="shared" si="22"/>
        <v>0</v>
      </c>
      <c r="E85" s="2461"/>
      <c r="F85" s="2329"/>
      <c r="G85" s="2459"/>
      <c r="H85" s="2460" t="str">
        <f t="shared" si="23"/>
        <v>——</v>
      </c>
      <c r="I85" s="3001">
        <v>0.3</v>
      </c>
      <c r="J85" s="493">
        <f t="shared" si="24"/>
        <v>0</v>
      </c>
      <c r="K85" s="493">
        <f t="shared" si="25"/>
        <v>0</v>
      </c>
      <c r="L85" s="493">
        <v>0</v>
      </c>
      <c r="M85" s="493">
        <f t="shared" si="26"/>
        <v>0</v>
      </c>
      <c r="N85" s="493">
        <f t="shared" si="26"/>
        <v>0</v>
      </c>
      <c r="AA85" s="2261"/>
      <c r="AG85" s="2259"/>
    </row>
    <row r="86" spans="1:33" ht="36">
      <c r="A86" s="2462" t="s">
        <v>2814</v>
      </c>
      <c r="B86" s="3001">
        <f>估价对象房地状况!G17</f>
        <v>0</v>
      </c>
      <c r="C86" s="2325"/>
      <c r="D86" s="3001">
        <f t="shared" si="22"/>
        <v>0</v>
      </c>
      <c r="E86" s="2461"/>
      <c r="F86" s="2329"/>
      <c r="G86" s="2459"/>
      <c r="H86" s="2460" t="str">
        <f t="shared" si="23"/>
        <v>——</v>
      </c>
      <c r="I86" s="3001">
        <v>0.1</v>
      </c>
      <c r="J86" s="493">
        <f t="shared" si="24"/>
        <v>0</v>
      </c>
      <c r="K86" s="493">
        <f t="shared" si="25"/>
        <v>0</v>
      </c>
      <c r="L86" s="493">
        <v>0</v>
      </c>
      <c r="M86" s="493">
        <f t="shared" si="26"/>
        <v>0</v>
      </c>
      <c r="N86" s="493">
        <f t="shared" si="26"/>
        <v>0</v>
      </c>
      <c r="AA86" s="2261"/>
      <c r="AG86" s="2259"/>
    </row>
    <row r="87" spans="1:33" ht="14.25">
      <c r="A87" s="2455" t="s">
        <v>2305</v>
      </c>
      <c r="B87" s="3001">
        <f>估价对象房地状况!G22</f>
        <v>0</v>
      </c>
      <c r="C87" s="2325"/>
      <c r="D87" s="3001">
        <f t="shared" si="22"/>
        <v>0</v>
      </c>
      <c r="E87" s="2461"/>
      <c r="F87" s="2329"/>
      <c r="G87" s="2459"/>
      <c r="H87" s="2460" t="str">
        <f t="shared" si="23"/>
        <v>——</v>
      </c>
      <c r="I87" s="3001">
        <v>0.05</v>
      </c>
      <c r="J87" s="493">
        <f t="shared" si="24"/>
        <v>0</v>
      </c>
      <c r="K87" s="493">
        <f t="shared" si="25"/>
        <v>0</v>
      </c>
      <c r="L87" s="493">
        <v>0</v>
      </c>
      <c r="M87" s="493">
        <f t="shared" si="26"/>
        <v>0</v>
      </c>
      <c r="N87" s="493">
        <f t="shared" si="26"/>
        <v>0</v>
      </c>
      <c r="AA87" s="2261"/>
      <c r="AG87" s="2259"/>
    </row>
    <row r="88" spans="1:33" ht="25.5">
      <c r="A88" s="2455" t="s">
        <v>2298</v>
      </c>
      <c r="B88" s="3002" t="str">
        <f>估价对象房地状况!G19</f>
        <v>估价对象所在区域公共配套设施齐备情况</v>
      </c>
      <c r="C88" s="2325"/>
      <c r="D88" s="3001">
        <f t="shared" si="22"/>
        <v>0</v>
      </c>
      <c r="E88" s="2461"/>
      <c r="F88" s="2329"/>
      <c r="G88" s="2459"/>
      <c r="H88" s="2460" t="str">
        <f t="shared" si="23"/>
        <v>——</v>
      </c>
      <c r="I88" s="3001">
        <v>0.06</v>
      </c>
      <c r="J88" s="493">
        <f t="shared" si="24"/>
        <v>0</v>
      </c>
      <c r="K88" s="493">
        <f t="shared" si="25"/>
        <v>0</v>
      </c>
      <c r="L88" s="493">
        <v>0</v>
      </c>
      <c r="M88" s="493">
        <f t="shared" si="26"/>
        <v>0</v>
      </c>
      <c r="N88" s="493">
        <f t="shared" si="26"/>
        <v>0</v>
      </c>
    </row>
    <row r="89" spans="1:33" ht="24">
      <c r="A89" s="2455" t="s">
        <v>2299</v>
      </c>
      <c r="B89" s="3002" t="str">
        <f>估价对象房地状况!G20</f>
        <v>估价对象所在区域基础设施水平</v>
      </c>
      <c r="C89" s="2325"/>
      <c r="D89" s="3001">
        <f t="shared" si="22"/>
        <v>0</v>
      </c>
      <c r="E89" s="2461"/>
      <c r="F89" s="2329"/>
      <c r="G89" s="2459"/>
      <c r="H89" s="2460" t="str">
        <f t="shared" si="23"/>
        <v>——</v>
      </c>
      <c r="I89" s="3001">
        <v>0.12</v>
      </c>
      <c r="J89" s="493">
        <f t="shared" si="24"/>
        <v>0</v>
      </c>
      <c r="K89" s="493">
        <f t="shared" si="25"/>
        <v>0</v>
      </c>
      <c r="L89" s="493">
        <v>0</v>
      </c>
      <c r="M89" s="493">
        <f t="shared" si="26"/>
        <v>0</v>
      </c>
      <c r="N89" s="493">
        <f t="shared" si="26"/>
        <v>0</v>
      </c>
    </row>
    <row r="90" spans="1:33" ht="24">
      <c r="A90" s="2455" t="s">
        <v>2296</v>
      </c>
      <c r="B90" s="2464" t="s">
        <v>2309</v>
      </c>
      <c r="C90" s="2325"/>
      <c r="D90" s="3001">
        <f t="shared" si="22"/>
        <v>0</v>
      </c>
      <c r="E90" s="2461"/>
      <c r="F90" s="2329"/>
      <c r="G90" s="2459"/>
      <c r="H90" s="2460" t="str">
        <f t="shared" si="23"/>
        <v>——</v>
      </c>
      <c r="I90" s="3001">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3001">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2710</v>
      </c>
      <c r="B92" s="2450">
        <f>1+E94</f>
        <v>1</v>
      </c>
      <c r="C92" s="2473"/>
      <c r="D92" s="2473"/>
      <c r="E92" s="2473"/>
      <c r="F92" s="2473"/>
      <c r="S92" s="2259"/>
      <c r="T92" s="2259"/>
      <c r="U92" s="2259"/>
      <c r="V92" s="2259"/>
      <c r="W92" s="2259"/>
      <c r="X92" s="2259"/>
      <c r="Y92" s="2259"/>
    </row>
    <row r="93" spans="1:33" s="2259" customFormat="1" ht="24.75">
      <c r="A93" s="2455" t="s">
        <v>2283</v>
      </c>
      <c r="B93" s="3001"/>
      <c r="C93" s="3001" t="s">
        <v>2285</v>
      </c>
      <c r="D93" s="3001" t="s">
        <v>2286</v>
      </c>
      <c r="E93" s="2414" t="s">
        <v>2287</v>
      </c>
      <c r="F93" s="2456" t="s">
        <v>2302</v>
      </c>
      <c r="G93" s="3001" t="s">
        <v>517</v>
      </c>
      <c r="H93" s="502" t="s">
        <v>2289</v>
      </c>
      <c r="I93" s="3001" t="s">
        <v>2290</v>
      </c>
      <c r="J93" s="3000" t="s">
        <v>1956</v>
      </c>
      <c r="K93" s="3000" t="s">
        <v>1957</v>
      </c>
      <c r="L93" s="3000" t="s">
        <v>1958</v>
      </c>
      <c r="M93" s="3000" t="s">
        <v>1959</v>
      </c>
      <c r="N93" s="3000" t="s">
        <v>1960</v>
      </c>
    </row>
    <row r="94" spans="1:33" s="2259" customFormat="1" ht="24">
      <c r="A94" s="2462" t="s">
        <v>2818</v>
      </c>
      <c r="B94" s="605"/>
      <c r="C94" s="2325"/>
      <c r="D94" s="3001">
        <f>SUMIF($J$93:$N$93,C94,J94:N94)</f>
        <v>0</v>
      </c>
      <c r="E94" s="2458">
        <f>ROUND(SUM(D94:D102),4)</f>
        <v>0</v>
      </c>
      <c r="F94" s="2329" t="str">
        <f>IF(E2="公共服务",SUMIF(L1:L12,G2,N1:N12),"——")</f>
        <v>——</v>
      </c>
      <c r="G94" s="2459"/>
      <c r="H94" s="2460" t="str">
        <f>IFERROR(ROUNDDOWN($F$94*I94/2,4),"——")</f>
        <v>——</v>
      </c>
      <c r="I94" s="3001">
        <v>0.25</v>
      </c>
      <c r="J94" s="493">
        <f t="shared" ref="J94:J102" si="27">K94+$G94</f>
        <v>0</v>
      </c>
      <c r="K94" s="493">
        <f t="shared" ref="K94:K102" si="28">$L94+$G94</f>
        <v>0</v>
      </c>
      <c r="L94" s="493">
        <v>0</v>
      </c>
      <c r="M94" s="493">
        <f t="shared" ref="M94:N102" si="29">L94-$G94</f>
        <v>0</v>
      </c>
      <c r="N94" s="493">
        <f t="shared" si="29"/>
        <v>0</v>
      </c>
    </row>
    <row r="95" spans="1:33" s="2259" customFormat="1" ht="38.25">
      <c r="A95" s="2455" t="s">
        <v>2292</v>
      </c>
      <c r="B95" s="3001" t="str">
        <f>估价对象房地状况!C18</f>
        <v>估价对象周边道路状况、公共交通通达情况、停车便捷程度，综合评价交通便捷度较好</v>
      </c>
      <c r="C95" s="2325"/>
      <c r="D95" s="3001">
        <f t="shared" ref="D95:D102" si="30">SUMIF($J$61:$N$61,C95,J95:N95)</f>
        <v>0</v>
      </c>
      <c r="E95" s="2461"/>
      <c r="F95" s="2329"/>
      <c r="G95" s="2459"/>
      <c r="H95" s="2460" t="str">
        <f>IFERROR(ROUNDDOWN($F$94*I95/2,4),"——")</f>
        <v>——</v>
      </c>
      <c r="I95" s="3001">
        <v>0.26</v>
      </c>
      <c r="J95" s="493">
        <f t="shared" si="27"/>
        <v>0</v>
      </c>
      <c r="K95" s="493">
        <f t="shared" si="28"/>
        <v>0</v>
      </c>
      <c r="L95" s="493">
        <v>0</v>
      </c>
      <c r="M95" s="493">
        <f t="shared" si="29"/>
        <v>0</v>
      </c>
      <c r="N95" s="493">
        <f t="shared" si="29"/>
        <v>0</v>
      </c>
    </row>
    <row r="96" spans="1:33" s="2259" customFormat="1" ht="36">
      <c r="A96" s="2462" t="s">
        <v>2814</v>
      </c>
      <c r="B96" s="3001">
        <f>估价对象房地状况!C19</f>
        <v>0</v>
      </c>
      <c r="C96" s="2325"/>
      <c r="D96" s="3001">
        <f t="shared" si="30"/>
        <v>0</v>
      </c>
      <c r="E96" s="2461"/>
      <c r="F96" s="2329"/>
      <c r="G96" s="2459"/>
      <c r="H96" s="2460" t="str">
        <f t="shared" ref="H96:H102" si="31">IFERROR(ROUNDDOWN($F$94*I96/2,4),"——")</f>
        <v>——</v>
      </c>
      <c r="I96" s="3001">
        <v>0.11</v>
      </c>
      <c r="J96" s="493">
        <f t="shared" si="27"/>
        <v>0</v>
      </c>
      <c r="K96" s="493">
        <f t="shared" si="28"/>
        <v>0</v>
      </c>
      <c r="L96" s="493">
        <v>0</v>
      </c>
      <c r="M96" s="493">
        <f t="shared" si="29"/>
        <v>0</v>
      </c>
      <c r="N96" s="493">
        <f t="shared" si="29"/>
        <v>0</v>
      </c>
    </row>
    <row r="97" spans="1:25" s="2259" customFormat="1" ht="36.75">
      <c r="A97" s="2455" t="s">
        <v>2293</v>
      </c>
      <c r="B97" s="2463" t="s">
        <v>2294</v>
      </c>
      <c r="C97" s="2325"/>
      <c r="D97" s="3001">
        <f t="shared" si="30"/>
        <v>0</v>
      </c>
      <c r="E97" s="2461"/>
      <c r="F97" s="2329"/>
      <c r="G97" s="2459"/>
      <c r="H97" s="2460" t="str">
        <f t="shared" si="31"/>
        <v>——</v>
      </c>
      <c r="I97" s="3001">
        <v>0.05</v>
      </c>
      <c r="J97" s="493">
        <f t="shared" si="27"/>
        <v>0</v>
      </c>
      <c r="K97" s="493">
        <f t="shared" si="28"/>
        <v>0</v>
      </c>
      <c r="L97" s="493">
        <v>0</v>
      </c>
      <c r="M97" s="493">
        <f t="shared" si="29"/>
        <v>0</v>
      </c>
      <c r="N97" s="493">
        <f t="shared" si="29"/>
        <v>0</v>
      </c>
    </row>
    <row r="98" spans="1:25" s="2259" customFormat="1" ht="24">
      <c r="A98" s="2455" t="s">
        <v>2295</v>
      </c>
      <c r="B98" s="3001">
        <f>估价对象房地状况!C24</f>
        <v>0</v>
      </c>
      <c r="C98" s="2325"/>
      <c r="D98" s="3001">
        <f t="shared" si="30"/>
        <v>0</v>
      </c>
      <c r="E98" s="2461"/>
      <c r="F98" s="2329"/>
      <c r="G98" s="2459"/>
      <c r="H98" s="2460" t="str">
        <f t="shared" si="31"/>
        <v>——</v>
      </c>
      <c r="I98" s="3001">
        <v>0.05</v>
      </c>
      <c r="J98" s="493">
        <f t="shared" si="27"/>
        <v>0</v>
      </c>
      <c r="K98" s="493">
        <f t="shared" si="28"/>
        <v>0</v>
      </c>
      <c r="L98" s="493">
        <v>0</v>
      </c>
      <c r="M98" s="493">
        <f t="shared" si="29"/>
        <v>0</v>
      </c>
      <c r="N98" s="493">
        <f t="shared" si="29"/>
        <v>0</v>
      </c>
    </row>
    <row r="99" spans="1:25" s="2259" customFormat="1" ht="24">
      <c r="A99" s="2455" t="s">
        <v>2296</v>
      </c>
      <c r="B99" s="2464" t="s">
        <v>2297</v>
      </c>
      <c r="C99" s="2325"/>
      <c r="D99" s="3001">
        <f t="shared" si="30"/>
        <v>0</v>
      </c>
      <c r="E99" s="2461"/>
      <c r="F99" s="2329"/>
      <c r="G99" s="2459"/>
      <c r="H99" s="2460" t="str">
        <f t="shared" si="31"/>
        <v>——</v>
      </c>
      <c r="I99" s="3001">
        <v>0.06</v>
      </c>
      <c r="J99" s="493">
        <f t="shared" si="27"/>
        <v>0</v>
      </c>
      <c r="K99" s="493">
        <f t="shared" si="28"/>
        <v>0</v>
      </c>
      <c r="L99" s="493">
        <v>0</v>
      </c>
      <c r="M99" s="493">
        <f t="shared" si="29"/>
        <v>0</v>
      </c>
      <c r="N99" s="493">
        <f t="shared" si="29"/>
        <v>0</v>
      </c>
    </row>
    <row r="100" spans="1:25" s="2259" customFormat="1" ht="25.5">
      <c r="A100" s="2455" t="s">
        <v>2298</v>
      </c>
      <c r="B100" s="3002" t="str">
        <f>估价对象房地状况!C21</f>
        <v>估价对象所在区域公共配套设施齐备情况</v>
      </c>
      <c r="C100" s="2325"/>
      <c r="D100" s="3001">
        <f t="shared" si="30"/>
        <v>0</v>
      </c>
      <c r="E100" s="2461"/>
      <c r="F100" s="2329"/>
      <c r="G100" s="2459"/>
      <c r="H100" s="2460" t="str">
        <f t="shared" si="31"/>
        <v>——</v>
      </c>
      <c r="I100" s="3001">
        <v>0.06</v>
      </c>
      <c r="J100" s="493">
        <f t="shared" si="27"/>
        <v>0</v>
      </c>
      <c r="K100" s="493">
        <f t="shared" si="28"/>
        <v>0</v>
      </c>
      <c r="L100" s="493">
        <v>0</v>
      </c>
      <c r="M100" s="493">
        <f t="shared" si="29"/>
        <v>0</v>
      </c>
      <c r="N100" s="493">
        <f t="shared" si="29"/>
        <v>0</v>
      </c>
    </row>
    <row r="101" spans="1:25" s="2259" customFormat="1" ht="24">
      <c r="A101" s="2455" t="s">
        <v>2299</v>
      </c>
      <c r="B101" s="3002" t="str">
        <f>估价对象房地状况!C22</f>
        <v>估价对象所在区域基础设施水平</v>
      </c>
      <c r="C101" s="2325"/>
      <c r="D101" s="3001">
        <f t="shared" si="30"/>
        <v>0</v>
      </c>
      <c r="E101" s="2461"/>
      <c r="F101" s="2329"/>
      <c r="G101" s="2459"/>
      <c r="H101" s="2460" t="str">
        <f t="shared" si="31"/>
        <v>——</v>
      </c>
      <c r="I101" s="3001">
        <v>0.09</v>
      </c>
      <c r="J101" s="493">
        <f t="shared" si="27"/>
        <v>0</v>
      </c>
      <c r="K101" s="493">
        <f t="shared" si="28"/>
        <v>0</v>
      </c>
      <c r="L101" s="493">
        <v>0</v>
      </c>
      <c r="M101" s="493">
        <f t="shared" si="29"/>
        <v>0</v>
      </c>
      <c r="N101" s="493">
        <f t="shared" si="29"/>
        <v>0</v>
      </c>
    </row>
    <row r="102" spans="1:25" s="2259" customFormat="1" ht="26.25" thickBot="1">
      <c r="A102" s="2466" t="s">
        <v>2300</v>
      </c>
      <c r="B102" s="2468" t="str">
        <f>估价对象房地状况!C20</f>
        <v>区域自然环境：；人文环境；综合评价环境状况一般</v>
      </c>
      <c r="C102" s="2325"/>
      <c r="D102" s="3001">
        <f t="shared" si="30"/>
        <v>0</v>
      </c>
      <c r="E102" s="487"/>
      <c r="F102" s="2329"/>
      <c r="G102" s="2459"/>
      <c r="H102" s="2460" t="str">
        <f t="shared" si="31"/>
        <v>——</v>
      </c>
      <c r="I102" s="2468">
        <v>7.0000000000000007E-2</v>
      </c>
      <c r="J102" s="493">
        <f t="shared" si="27"/>
        <v>0</v>
      </c>
      <c r="K102" s="493">
        <f t="shared" si="28"/>
        <v>0</v>
      </c>
      <c r="L102" s="493">
        <v>0</v>
      </c>
      <c r="M102" s="493">
        <f t="shared" si="29"/>
        <v>0</v>
      </c>
      <c r="N102" s="493">
        <f t="shared" si="29"/>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306" t="s">
        <v>2311</v>
      </c>
      <c r="B104" s="3306"/>
      <c r="C104" s="3306"/>
      <c r="D104" s="3306"/>
      <c r="E104" s="3306"/>
      <c r="F104" s="3306"/>
      <c r="G104" s="3306"/>
      <c r="H104" s="3306"/>
      <c r="I104" s="3306"/>
      <c r="J104" s="3306"/>
      <c r="K104" s="3006"/>
      <c r="L104" s="3006"/>
      <c r="M104" s="3006"/>
      <c r="N104" s="3006"/>
    </row>
    <row r="105" spans="1:25">
      <c r="A105" s="3307" t="s">
        <v>2312</v>
      </c>
      <c r="B105" s="3307" t="s">
        <v>2313</v>
      </c>
      <c r="C105" s="2422" t="s">
        <v>2314</v>
      </c>
      <c r="D105" s="2423"/>
      <c r="E105" s="2423"/>
      <c r="F105" s="2423"/>
      <c r="G105" s="2423"/>
      <c r="H105" s="2423"/>
      <c r="I105" s="2423"/>
      <c r="J105" s="2480"/>
      <c r="K105" s="2481"/>
      <c r="L105" s="2481"/>
      <c r="M105" s="2481"/>
      <c r="N105" s="2481"/>
    </row>
    <row r="106" spans="1:25">
      <c r="A106" s="3307"/>
      <c r="B106" s="3307"/>
      <c r="C106" s="3008" t="s">
        <v>2199</v>
      </c>
      <c r="D106" s="3008" t="s">
        <v>2200</v>
      </c>
      <c r="E106" s="3008" t="s">
        <v>2201</v>
      </c>
      <c r="F106" s="3008" t="s">
        <v>2202</v>
      </c>
      <c r="G106" s="3008" t="s">
        <v>2203</v>
      </c>
      <c r="H106" s="3008" t="s">
        <v>2204</v>
      </c>
      <c r="I106" s="3008" t="s">
        <v>2205</v>
      </c>
      <c r="J106" s="3008" t="s">
        <v>2206</v>
      </c>
      <c r="K106" s="3008" t="s">
        <v>2207</v>
      </c>
      <c r="L106" s="3008" t="s">
        <v>2208</v>
      </c>
      <c r="M106" s="3008" t="s">
        <v>2209</v>
      </c>
      <c r="N106" s="3008" t="s">
        <v>2210</v>
      </c>
    </row>
    <row r="107" spans="1:25">
      <c r="A107" s="3308" t="s">
        <v>2315</v>
      </c>
      <c r="B107" s="3008">
        <v>1</v>
      </c>
      <c r="C107" s="3008">
        <v>1.5206</v>
      </c>
      <c r="D107" s="3008">
        <v>1.5206</v>
      </c>
      <c r="E107" s="3008">
        <v>1.5019</v>
      </c>
      <c r="F107" s="3008">
        <v>1.5019</v>
      </c>
      <c r="G107" s="3008">
        <v>1.5019</v>
      </c>
      <c r="H107" s="3008">
        <v>1.5019</v>
      </c>
      <c r="I107" s="3008">
        <v>1.5019</v>
      </c>
      <c r="J107" s="3008">
        <v>1.5418000000000001</v>
      </c>
      <c r="K107" s="3008">
        <v>1.5418000000000001</v>
      </c>
      <c r="L107" s="3008">
        <v>1.5418000000000001</v>
      </c>
      <c r="M107" s="3008">
        <v>1.5418000000000001</v>
      </c>
      <c r="N107" s="3008">
        <v>1.5418000000000001</v>
      </c>
    </row>
    <row r="108" spans="1:25">
      <c r="A108" s="3309"/>
      <c r="B108" s="3008">
        <v>2</v>
      </c>
      <c r="C108" s="3008">
        <v>1.2072000000000001</v>
      </c>
      <c r="D108" s="3008">
        <v>1.2072000000000001</v>
      </c>
      <c r="E108" s="3008">
        <v>1.1838</v>
      </c>
      <c r="F108" s="3008">
        <v>1.1838</v>
      </c>
      <c r="G108" s="3008">
        <v>1.1838</v>
      </c>
      <c r="H108" s="3008">
        <v>1.1838</v>
      </c>
      <c r="I108" s="3008">
        <v>1.1838</v>
      </c>
      <c r="J108" s="3008">
        <v>1.1883999999999999</v>
      </c>
      <c r="K108" s="3008">
        <v>1.1883999999999999</v>
      </c>
      <c r="L108" s="3008">
        <v>1.1883999999999999</v>
      </c>
      <c r="M108" s="3008">
        <v>1.1883999999999999</v>
      </c>
      <c r="N108" s="3008">
        <v>1.1883999999999999</v>
      </c>
    </row>
    <row r="109" spans="1:25">
      <c r="A109" s="3309"/>
      <c r="B109" s="3008">
        <v>3</v>
      </c>
      <c r="C109" s="3008">
        <v>1.0430999999999999</v>
      </c>
      <c r="D109" s="3008">
        <v>1.0430999999999999</v>
      </c>
      <c r="E109" s="3008">
        <v>1.0004999999999999</v>
      </c>
      <c r="F109" s="3008">
        <v>1.0004999999999999</v>
      </c>
      <c r="G109" s="3008">
        <v>1.0004999999999999</v>
      </c>
      <c r="H109" s="3008">
        <v>1.0004999999999999</v>
      </c>
      <c r="I109" s="3008">
        <v>1.0004999999999999</v>
      </c>
      <c r="J109" s="3008">
        <v>0.96940000000000004</v>
      </c>
      <c r="K109" s="3008">
        <v>0.96940000000000004</v>
      </c>
      <c r="L109" s="3008">
        <v>0.96940000000000004</v>
      </c>
      <c r="M109" s="3008">
        <v>0.96940000000000004</v>
      </c>
      <c r="N109" s="3008">
        <v>0.96940000000000004</v>
      </c>
    </row>
    <row r="110" spans="1:25">
      <c r="A110" s="3309"/>
      <c r="B110" s="3008">
        <v>4</v>
      </c>
      <c r="C110" s="3008">
        <v>0.94389999999999996</v>
      </c>
      <c r="D110" s="3008">
        <v>0.94389999999999996</v>
      </c>
      <c r="E110" s="3008">
        <v>0.88239999999999996</v>
      </c>
      <c r="F110" s="3008">
        <v>0.88239999999999996</v>
      </c>
      <c r="G110" s="3008">
        <v>0.88239999999999996</v>
      </c>
      <c r="H110" s="3008">
        <v>0.88239999999999996</v>
      </c>
      <c r="I110" s="3008">
        <v>0.88239999999999996</v>
      </c>
      <c r="J110" s="3008">
        <v>0.82299999999999995</v>
      </c>
      <c r="K110" s="3008">
        <v>0.82299999999999995</v>
      </c>
      <c r="L110" s="3008">
        <v>0.82299999999999995</v>
      </c>
      <c r="M110" s="3008">
        <v>0.82299999999999995</v>
      </c>
      <c r="N110" s="3008">
        <v>0.82299999999999995</v>
      </c>
    </row>
    <row r="111" spans="1:25">
      <c r="A111" s="3309"/>
      <c r="B111" s="3008">
        <v>5</v>
      </c>
      <c r="C111" s="3008">
        <v>0.89959999999999996</v>
      </c>
      <c r="D111" s="3008">
        <v>0.89959999999999996</v>
      </c>
      <c r="E111" s="3008">
        <v>0.84799999999999998</v>
      </c>
      <c r="F111" s="3008">
        <v>0.84799999999999998</v>
      </c>
      <c r="G111" s="3008">
        <v>0.84799999999999998</v>
      </c>
      <c r="H111" s="3008">
        <v>0.84799999999999998</v>
      </c>
      <c r="I111" s="3008">
        <v>0.84799999999999998</v>
      </c>
      <c r="J111" s="3008">
        <v>0.74980000000000002</v>
      </c>
      <c r="K111" s="3008">
        <v>0.74980000000000002</v>
      </c>
      <c r="L111" s="3008">
        <v>0.74980000000000002</v>
      </c>
      <c r="M111" s="3008">
        <v>0.74980000000000002</v>
      </c>
      <c r="N111" s="3008">
        <v>0.74980000000000002</v>
      </c>
    </row>
    <row r="112" spans="1:25">
      <c r="A112" s="3309"/>
      <c r="B112" s="3008" t="s">
        <v>2716</v>
      </c>
      <c r="C112" s="2482">
        <f>$I$3</f>
        <v>1</v>
      </c>
      <c r="D112" s="2482">
        <f t="shared" ref="D112:M112" si="32">$I$3</f>
        <v>1</v>
      </c>
      <c r="E112" s="2482">
        <f t="shared" si="32"/>
        <v>1</v>
      </c>
      <c r="F112" s="2482">
        <f t="shared" si="32"/>
        <v>1</v>
      </c>
      <c r="G112" s="2482">
        <f t="shared" si="32"/>
        <v>1</v>
      </c>
      <c r="H112" s="2482">
        <f t="shared" si="32"/>
        <v>1</v>
      </c>
      <c r="I112" s="2482">
        <f t="shared" si="32"/>
        <v>1</v>
      </c>
      <c r="J112" s="2482">
        <f t="shared" si="32"/>
        <v>1</v>
      </c>
      <c r="K112" s="2482">
        <f t="shared" si="32"/>
        <v>1</v>
      </c>
      <c r="L112" s="2482">
        <f t="shared" si="32"/>
        <v>1</v>
      </c>
      <c r="M112" s="2482">
        <f t="shared" si="32"/>
        <v>1</v>
      </c>
      <c r="N112" s="2482">
        <f>$I$3</f>
        <v>1</v>
      </c>
    </row>
    <row r="113" spans="1:14">
      <c r="A113" s="3310"/>
      <c r="B113" s="3008">
        <v>6</v>
      </c>
      <c r="C113" s="502">
        <f>(-0.5556*(C112^2)-0.2719*C112+8944)*(10^(-4))</f>
        <v>0.89431725000000006</v>
      </c>
      <c r="D113" s="502">
        <f>(-0.5556*(D112^2)-0.2719*D112+8944)*(10^(-4))</f>
        <v>0.89431725000000006</v>
      </c>
      <c r="E113" s="502">
        <f>(-0.7912*(E112^2)-11.3794*E112+8482)*(10^(-4))</f>
        <v>0.84698294000000007</v>
      </c>
      <c r="F113" s="502">
        <f t="shared" ref="F113:I113" si="33">(-0.7912*(F112^2)-11.3794*F112+8482)*(10^(-4))</f>
        <v>0.84698294000000007</v>
      </c>
      <c r="G113" s="502">
        <f t="shared" si="33"/>
        <v>0.84698294000000007</v>
      </c>
      <c r="H113" s="502">
        <f t="shared" si="33"/>
        <v>0.84698294000000007</v>
      </c>
      <c r="I113" s="502">
        <f t="shared" si="33"/>
        <v>0.84698294000000007</v>
      </c>
      <c r="J113" s="502">
        <f>(-0.989*(J112^2)-63.78*J112+7771)*(10^(-4))</f>
        <v>0.77062310000000001</v>
      </c>
      <c r="K113" s="502">
        <f t="shared" ref="K113:N113" si="34">(-0.989*(K112^2)-63.78*K112+7771)*(10^(-4))</f>
        <v>0.77062310000000001</v>
      </c>
      <c r="L113" s="502">
        <f t="shared" si="34"/>
        <v>0.77062310000000001</v>
      </c>
      <c r="M113" s="502">
        <f t="shared" si="34"/>
        <v>0.77062310000000001</v>
      </c>
      <c r="N113" s="502">
        <f t="shared" si="34"/>
        <v>0.77062310000000001</v>
      </c>
    </row>
    <row r="114" spans="1:14">
      <c r="A114" s="3311" t="s">
        <v>2316</v>
      </c>
      <c r="B114" s="3311"/>
      <c r="C114" s="3311"/>
      <c r="D114" s="3311"/>
      <c r="E114" s="3311"/>
      <c r="F114" s="3311"/>
      <c r="G114" s="3311"/>
      <c r="H114" s="3311"/>
      <c r="I114" s="3311"/>
      <c r="J114" s="3311"/>
      <c r="K114" s="3007"/>
      <c r="L114" s="3007"/>
      <c r="M114" s="3007"/>
      <c r="N114" s="3007"/>
    </row>
    <row r="116" spans="1:14" ht="13.5" thickBot="1"/>
    <row r="117" spans="1:14" ht="25.5" thickBot="1">
      <c r="A117" s="2382" t="s">
        <v>2317</v>
      </c>
      <c r="B117" s="2484">
        <f>G3</f>
        <v>1.6</v>
      </c>
      <c r="C117" s="2365" t="s">
        <v>2318</v>
      </c>
      <c r="D117" s="500">
        <f>SUMPRODUCT((A119:A123=F117)*(B118:M118=H117)*B119:M123)</f>
        <v>0.91379999999999995</v>
      </c>
      <c r="E117" s="473" t="s">
        <v>2173</v>
      </c>
      <c r="F117" s="501" t="str">
        <f>E2</f>
        <v>住宅</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0.97919999999999996</v>
      </c>
      <c r="C119" s="502">
        <f>B119</f>
        <v>0.97919999999999996</v>
      </c>
      <c r="D119" s="502">
        <f>ROUND(0.949-0.014*B117,4)</f>
        <v>0.92659999999999998</v>
      </c>
      <c r="E119" s="502">
        <f>D119</f>
        <v>0.92659999999999998</v>
      </c>
      <c r="F119" s="502">
        <f>E119</f>
        <v>0.92659999999999998</v>
      </c>
      <c r="G119" s="502">
        <f>F119</f>
        <v>0.92659999999999998</v>
      </c>
      <c r="H119" s="502">
        <f>G119</f>
        <v>0.92659999999999998</v>
      </c>
      <c r="I119" s="502">
        <f>ROUND(0.8486-0.018*B117,4)</f>
        <v>0.81979999999999997</v>
      </c>
      <c r="J119" s="502">
        <f t="shared" ref="J119:M123" si="35">I119</f>
        <v>0.81979999999999997</v>
      </c>
      <c r="K119" s="502">
        <f t="shared" si="35"/>
        <v>0.81979999999999997</v>
      </c>
      <c r="L119" s="502">
        <f t="shared" si="35"/>
        <v>0.81979999999999997</v>
      </c>
      <c r="M119" s="504">
        <f t="shared" si="35"/>
        <v>0.81979999999999997</v>
      </c>
    </row>
    <row r="120" spans="1:14">
      <c r="A120" s="2413" t="s">
        <v>2230</v>
      </c>
      <c r="B120" s="502">
        <f>ROUND(0.993-0.0112*B117,4)</f>
        <v>0.97509999999999997</v>
      </c>
      <c r="C120" s="502">
        <f>B120</f>
        <v>0.97509999999999997</v>
      </c>
      <c r="D120" s="502">
        <f>ROUND(0.9415-0.0142*B117,4)</f>
        <v>0.91879999999999995</v>
      </c>
      <c r="E120" s="502">
        <f t="shared" ref="E120:H121" si="36">D120</f>
        <v>0.91879999999999995</v>
      </c>
      <c r="F120" s="502">
        <f t="shared" si="36"/>
        <v>0.91879999999999995</v>
      </c>
      <c r="G120" s="502">
        <f t="shared" si="36"/>
        <v>0.91879999999999995</v>
      </c>
      <c r="H120" s="502">
        <f t="shared" si="36"/>
        <v>0.91879999999999995</v>
      </c>
      <c r="I120" s="502">
        <f>ROUND(0.838-0.0182*B117,4)</f>
        <v>0.80889999999999995</v>
      </c>
      <c r="J120" s="502">
        <f t="shared" si="35"/>
        <v>0.80889999999999995</v>
      </c>
      <c r="K120" s="502">
        <f t="shared" si="35"/>
        <v>0.80889999999999995</v>
      </c>
      <c r="L120" s="502">
        <f t="shared" si="35"/>
        <v>0.80889999999999995</v>
      </c>
      <c r="M120" s="504">
        <f t="shared" si="35"/>
        <v>0.80889999999999995</v>
      </c>
    </row>
    <row r="121" spans="1:14">
      <c r="A121" s="2413" t="s">
        <v>2231</v>
      </c>
      <c r="B121" s="502">
        <f>ROUND(0.9448-0.0115*B117,4)</f>
        <v>0.9264</v>
      </c>
      <c r="C121" s="502">
        <f>B121</f>
        <v>0.9264</v>
      </c>
      <c r="D121" s="502">
        <f>ROUND(0.937-0.0145*B117,4)</f>
        <v>0.91379999999999995</v>
      </c>
      <c r="E121" s="502">
        <f t="shared" si="36"/>
        <v>0.91379999999999995</v>
      </c>
      <c r="F121" s="502">
        <f t="shared" si="36"/>
        <v>0.91379999999999995</v>
      </c>
      <c r="G121" s="502">
        <f t="shared" si="36"/>
        <v>0.91379999999999995</v>
      </c>
      <c r="H121" s="502">
        <f t="shared" si="36"/>
        <v>0.91379999999999995</v>
      </c>
      <c r="I121" s="502">
        <f>ROUND(0.7965-0.0185*B117,4)</f>
        <v>0.76690000000000003</v>
      </c>
      <c r="J121" s="502">
        <f t="shared" si="35"/>
        <v>0.76690000000000003</v>
      </c>
      <c r="K121" s="502">
        <f t="shared" si="35"/>
        <v>0.76690000000000003</v>
      </c>
      <c r="L121" s="502">
        <f t="shared" si="35"/>
        <v>0.76690000000000003</v>
      </c>
      <c r="M121" s="504">
        <f t="shared" si="35"/>
        <v>0.76690000000000003</v>
      </c>
    </row>
    <row r="122" spans="1:14" ht="13.5" thickBot="1">
      <c r="A122" s="2417" t="s">
        <v>2232</v>
      </c>
      <c r="B122" s="503">
        <f>ROUND(0.7836-0.012*B117,4)</f>
        <v>0.76439999999999997</v>
      </c>
      <c r="C122" s="503">
        <f>B122</f>
        <v>0.76439999999999997</v>
      </c>
      <c r="D122" s="503">
        <f>ROUND(0.753-0.015*B117,4)</f>
        <v>0.72899999999999998</v>
      </c>
      <c r="E122" s="503">
        <f>D122</f>
        <v>0.72899999999999998</v>
      </c>
      <c r="F122" s="503">
        <f>E122</f>
        <v>0.72899999999999998</v>
      </c>
      <c r="G122" s="503">
        <f>ROUND(0.6612-0.018*B117,4)</f>
        <v>0.63239999999999996</v>
      </c>
      <c r="H122" s="503">
        <f>G122</f>
        <v>0.63239999999999996</v>
      </c>
      <c r="I122" s="503">
        <f>ROUND(0.5905-0.019*B117,4)</f>
        <v>0.56010000000000004</v>
      </c>
      <c r="J122" s="503">
        <f t="shared" si="35"/>
        <v>0.56010000000000004</v>
      </c>
      <c r="K122" s="503">
        <f t="shared" si="35"/>
        <v>0.56010000000000004</v>
      </c>
      <c r="L122" s="503">
        <f t="shared" si="35"/>
        <v>0.56010000000000004</v>
      </c>
      <c r="M122" s="505">
        <f t="shared" si="35"/>
        <v>0.56010000000000004</v>
      </c>
    </row>
    <row r="123" spans="1:14">
      <c r="A123" s="2492" t="s">
        <v>2702</v>
      </c>
      <c r="B123" s="502">
        <f>ROUND(0.9404-0.0106*B117,4)</f>
        <v>0.9234</v>
      </c>
      <c r="C123" s="502">
        <f>B123</f>
        <v>0.9234</v>
      </c>
      <c r="D123" s="502">
        <f>ROUND(0.8955-0.0135*B117,4)</f>
        <v>0.87390000000000001</v>
      </c>
      <c r="E123" s="502">
        <f t="shared" ref="E123:H123" si="37">D123</f>
        <v>0.87390000000000001</v>
      </c>
      <c r="F123" s="502">
        <f t="shared" si="37"/>
        <v>0.87390000000000001</v>
      </c>
      <c r="G123" s="502">
        <f t="shared" si="37"/>
        <v>0.87390000000000001</v>
      </c>
      <c r="H123" s="502">
        <f t="shared" si="37"/>
        <v>0.87390000000000001</v>
      </c>
      <c r="I123" s="502">
        <f>ROUND(0.7632-0.0166*B117,4)</f>
        <v>0.73660000000000003</v>
      </c>
      <c r="J123" s="502">
        <f t="shared" si="35"/>
        <v>0.73660000000000003</v>
      </c>
      <c r="K123" s="502">
        <f t="shared" si="35"/>
        <v>0.73660000000000003</v>
      </c>
      <c r="L123" s="502">
        <f t="shared" si="35"/>
        <v>0.73660000000000003</v>
      </c>
      <c r="M123" s="504">
        <f t="shared" si="35"/>
        <v>0.73660000000000003</v>
      </c>
    </row>
    <row r="124" spans="1:14">
      <c r="A124" s="2473"/>
      <c r="B124" s="2473"/>
      <c r="C124" s="2473"/>
      <c r="D124" s="2473"/>
      <c r="E124" s="2473"/>
      <c r="F124" s="2473"/>
      <c r="G124" s="2473"/>
      <c r="H124" s="2473"/>
      <c r="I124" s="2473"/>
      <c r="J124" s="2473"/>
      <c r="K124" s="2426"/>
      <c r="L124" s="2473"/>
      <c r="M124" s="2473"/>
    </row>
  </sheetData>
  <sheetProtection formatCells="0" formatColumns="0" formatRows="0"/>
  <dataConsolidate/>
  <mergeCells count="12">
    <mergeCell ref="A104:J104"/>
    <mergeCell ref="A105:A106"/>
    <mergeCell ref="B105:B106"/>
    <mergeCell ref="A107:A113"/>
    <mergeCell ref="A114:J114"/>
    <mergeCell ref="A37:A39"/>
    <mergeCell ref="J37:J39"/>
    <mergeCell ref="A4:J4"/>
    <mergeCell ref="W8:X8"/>
    <mergeCell ref="W9:W10"/>
    <mergeCell ref="D20:E20"/>
    <mergeCell ref="F20:G20"/>
  </mergeCells>
  <phoneticPr fontId="134" type="noConversion"/>
  <conditionalFormatting sqref="F51">
    <cfRule type="cellIs" dxfId="28" priority="7" stopIfTrue="1" operator="notEqual">
      <formula>"——"</formula>
    </cfRule>
  </conditionalFormatting>
  <conditionalFormatting sqref="F62">
    <cfRule type="cellIs" dxfId="27" priority="6" stopIfTrue="1" operator="notEqual">
      <formula>"——"</formula>
    </cfRule>
  </conditionalFormatting>
  <conditionalFormatting sqref="F73">
    <cfRule type="cellIs" dxfId="26" priority="5" stopIfTrue="1" operator="notEqual">
      <formula>"——"</formula>
    </cfRule>
  </conditionalFormatting>
  <conditionalFormatting sqref="F84">
    <cfRule type="cellIs" dxfId="25" priority="4" stopIfTrue="1" operator="notEqual">
      <formula>"——"</formula>
    </cfRule>
  </conditionalFormatting>
  <conditionalFormatting sqref="H51:H59 H62:H70 H73:H81 H84:H91">
    <cfRule type="cellIs" dxfId="24" priority="3" operator="notEqual">
      <formula>"——"</formula>
    </cfRule>
  </conditionalFormatting>
  <conditionalFormatting sqref="F94">
    <cfRule type="cellIs" dxfId="23" priority="2" stopIfTrue="1" operator="notEqual">
      <formula>"——"</formula>
    </cfRule>
  </conditionalFormatting>
  <conditionalFormatting sqref="H94:H103">
    <cfRule type="cellIs" dxfId="22" priority="1" operator="notEqual">
      <formula>"——"</formula>
    </cfRule>
  </conditionalFormatting>
  <dataValidations count="12">
    <dataValidation type="list" allowBlank="1" showInputMessage="1" showErrorMessage="1" sqref="E15" xr:uid="{2FD55BA5-AB7B-4EC6-9D4A-1476879710B7}">
      <formula1>"500米范围内,500-1000米,1000-1500米"</formula1>
    </dataValidation>
    <dataValidation type="list" allowBlank="1" showInputMessage="1" showErrorMessage="1" sqref="C15:D15" xr:uid="{F6698AFD-623B-4876-9AB8-473E9FD4A1B6}">
      <formula1>"有,无"</formula1>
    </dataValidation>
    <dataValidation type="list" allowBlank="1" showInputMessage="1" showErrorMessage="1" sqref="B25" xr:uid="{3BBE858A-6EFA-4943-9AA9-B3CC246027EF}">
      <formula1>"容积率修正,楼层修正"</formula1>
    </dataValidation>
    <dataValidation type="list" allowBlank="1" showInputMessage="1" showErrorMessage="1" sqref="F21" xr:uid="{E07621B6-6C6D-4859-B3CC-3EC100D42C6A}">
      <formula1>"与级别开发程度一致,与级别开发程度不一致"</formula1>
    </dataValidation>
    <dataValidation type="list" allowBlank="1" showInputMessage="1" showErrorMessage="1" sqref="E2" xr:uid="{EB452795-1A48-4CA6-92FC-78A631BA2E6F}">
      <formula1>"商业,办公,住宅,工业,公共服务"</formula1>
    </dataValidation>
    <dataValidation type="list" allowBlank="1" showInputMessage="1" showErrorMessage="1" sqref="F3" xr:uid="{F81DBB0C-DB02-40B9-A4D3-2BAD899A0197}">
      <formula1>"宗地容积率,估价对象容积率,自定义容积率"</formula1>
    </dataValidation>
    <dataValidation type="list" allowBlank="1" showInputMessage="1" showErrorMessage="1" sqref="C8" xr:uid="{1D0932C5-C6DA-43F3-83F8-43C5FA101CEC}">
      <formula1>商业街名称</formula1>
    </dataValidation>
    <dataValidation type="list" allowBlank="1" showInputMessage="1" showErrorMessage="1" sqref="E3" xr:uid="{8DBFA0EF-5FC3-4178-B308-59DA544A93B0}">
      <formula1>二级分类</formula1>
    </dataValidation>
    <dataValidation type="list" allowBlank="1" showInputMessage="1" showErrorMessage="1" sqref="C84:C91 C73:C81 C51:C59 C62:C70 C94:C103" xr:uid="{EF7791FB-BFE7-4285-8F78-F247A555E90C}">
      <formula1>五等判定</formula1>
    </dataValidation>
    <dataValidation type="list" allowBlank="1" showInputMessage="1" showErrorMessage="1" sqref="H23" xr:uid="{A580A9BA-E4A4-4A8E-BA61-480D8CA39219}">
      <formula1>"地价指数,季度增幅（自定义）,按公示增长率计算"</formula1>
    </dataValidation>
    <dataValidation type="list" allowBlank="1" showInputMessage="1" showErrorMessage="1" sqref="H20:O20" xr:uid="{DDD54AAB-5097-40E9-BA07-98A85D7A2A8C}">
      <formula1>七通一平</formula1>
    </dataValidation>
    <dataValidation type="list" allowBlank="1" showInputMessage="1" showErrorMessage="1" sqref="J23" xr:uid="{8055B77D-6B78-48AD-B465-62D9319F549A}">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6F1D-52CA-4A9D-BCC0-E4F86F2B5C4E}">
  <sheetPr>
    <tabColor rgb="FF92D050"/>
  </sheetPr>
  <dimension ref="A1:AJ124"/>
  <sheetViews>
    <sheetView view="pageBreakPreview" topLeftCell="A19" zoomScale="90" zoomScaleNormal="80" zoomScaleSheetLayoutView="90" workbookViewId="0">
      <selection activeCell="C5" sqref="C5"/>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4003</v>
      </c>
      <c r="C2" s="2266" t="s">
        <v>2172</v>
      </c>
      <c r="D2" s="473" t="s">
        <v>2173</v>
      </c>
      <c r="E2" s="2267" t="s">
        <v>3104</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Ⅵ-顺2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5423</v>
      </c>
      <c r="U2" s="2269">
        <v>10000</v>
      </c>
      <c r="V2" s="477">
        <f>ROUND(T2*U2/10000,0)</f>
        <v>5423</v>
      </c>
      <c r="W2" s="2262"/>
      <c r="X2" s="2262"/>
      <c r="Y2" s="2262"/>
      <c r="Z2" s="2262"/>
      <c r="AA2" s="2262"/>
      <c r="AB2" s="2262"/>
      <c r="AC2" s="2262"/>
      <c r="AD2" s="2263"/>
      <c r="AE2" s="2263"/>
      <c r="AF2" s="2263"/>
      <c r="AG2" s="2263"/>
      <c r="AH2" s="2263"/>
      <c r="AI2" s="2263"/>
      <c r="AJ2" s="2264"/>
    </row>
    <row r="3" spans="1:36" ht="15.75">
      <c r="A3" s="2265" t="s">
        <v>2177</v>
      </c>
      <c r="B3" s="2265">
        <f>ROUND(B2*10000/D1,0)</f>
        <v>4003</v>
      </c>
      <c r="C3" s="2266" t="s">
        <v>2178</v>
      </c>
      <c r="D3" s="473" t="s">
        <v>2179</v>
      </c>
      <c r="E3" s="2267" t="s">
        <v>3105</v>
      </c>
      <c r="F3" s="2270" t="s">
        <v>3100</v>
      </c>
      <c r="G3" s="2271">
        <f>'数据-汇总表'!I3</f>
        <v>1.6</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4274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98"/>
      <c r="B4" s="3299"/>
      <c r="C4" s="3299"/>
      <c r="D4" s="3300"/>
      <c r="E4" s="3300"/>
      <c r="F4" s="3300"/>
      <c r="G4" s="3300"/>
      <c r="H4" s="3300"/>
      <c r="I4" s="3300"/>
      <c r="J4" s="330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3613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3011">
        <f>ROUND(IF(E2="商业",C6*C7*C17+C20,(IF(E2="住宅",C6*C13*C17+C20,IF(E2="办公",C6*C12*C17+C20,C6+C20))))*0.25,0)</f>
        <v>3449</v>
      </c>
      <c r="D5" s="2274">
        <f>ROUND(C6*C17+C20,0)</f>
        <v>13140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3186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13140</v>
      </c>
      <c r="D6" s="2285" t="s">
        <v>2188</v>
      </c>
      <c r="E6" s="2284"/>
      <c r="F6" s="2284"/>
      <c r="G6" s="2286"/>
      <c r="H6" s="2286"/>
      <c r="I6" s="2286"/>
      <c r="J6" s="2287"/>
      <c r="K6" s="1414"/>
      <c r="L6" s="2268" t="s">
        <v>2189</v>
      </c>
      <c r="M6" s="475">
        <f>SUMPRODUCT((区片价!B127:B189=I2)*(区片价!C3:G3=E2)*(区片价!C127:G189))</f>
        <v>13140</v>
      </c>
      <c r="N6" s="473">
        <f>SUMPRODUCT((因素修正幅度!B127:B189=I2)*(因素修正幅度!C3:G3=E2)*(因素修正幅度!C127:G189))</f>
        <v>0.1</v>
      </c>
      <c r="O6" s="2259"/>
      <c r="P6" s="2259"/>
      <c r="Q6" s="2259"/>
      <c r="R6" s="477">
        <v>5</v>
      </c>
      <c r="S6" s="477">
        <f>ROUND(SUMPRODUCT((B107:B111=R6)*(C106:N106=G2)*(C107:N111)),4)</f>
        <v>0.84799999999999998</v>
      </c>
      <c r="T6" s="477">
        <f t="shared" si="0"/>
        <v>3062</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3016"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3021" t="s">
        <v>2193</v>
      </c>
      <c r="X7" s="498" t="str">
        <f>G2</f>
        <v>六级</v>
      </c>
      <c r="Y7" s="498" t="s">
        <v>2194</v>
      </c>
      <c r="Z7" s="498">
        <f>G3</f>
        <v>1.6</v>
      </c>
      <c r="AA7" s="2262"/>
      <c r="AB7" s="2262"/>
      <c r="AC7" s="2262"/>
      <c r="AD7" s="2263"/>
      <c r="AE7" s="2263"/>
      <c r="AF7" s="2263"/>
      <c r="AG7" s="2263"/>
      <c r="AH7" s="2263"/>
      <c r="AI7" s="2263"/>
      <c r="AJ7" s="2264"/>
    </row>
    <row r="8" spans="1:36" ht="25.5">
      <c r="A8" s="2294"/>
      <c r="B8" s="473" t="s">
        <v>2195</v>
      </c>
      <c r="C8" s="2267" t="s">
        <v>3101</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302" t="s">
        <v>2198</v>
      </c>
      <c r="X8" s="330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30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30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1.05</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3014" t="s">
        <v>2223</v>
      </c>
      <c r="C14" s="2321" t="s">
        <v>2224</v>
      </c>
      <c r="D14" s="3015"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3015"/>
      <c r="C15" s="2324"/>
      <c r="D15" s="2325" t="s">
        <v>3107</v>
      </c>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1.05</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3016" t="s">
        <v>2233</v>
      </c>
      <c r="C20" s="3016">
        <f>ROUND(IF(F21="与级别开发程度一致",0,(G21-E21)/C21),0)</f>
        <v>0</v>
      </c>
      <c r="D20" s="3304" t="s">
        <v>2237</v>
      </c>
      <c r="E20" s="3305"/>
      <c r="F20" s="3304" t="s">
        <v>2234</v>
      </c>
      <c r="G20" s="3305"/>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3102</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44826</v>
      </c>
      <c r="H23" s="2361" t="s">
        <v>3103</v>
      </c>
      <c r="I23" s="2360" t="str">
        <f>IF(H23="季度增幅（自定义）",SUMIF(N25:N28,E2,O25:O28),"")</f>
        <v/>
      </c>
      <c r="J23" s="2982" t="s">
        <v>3091</v>
      </c>
      <c r="K23" s="2346"/>
      <c r="L23" s="2362" t="s">
        <v>2243</v>
      </c>
      <c r="M23" s="488">
        <f>ROUND(SUMIF(地价!B2:G2,E2,地价!B13:G13),0)</f>
        <v>718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f>项目基本情况!D15</f>
        <v>70</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1.1087</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1.1087</v>
      </c>
      <c r="E26" s="493">
        <f>ROUNDDOWN(G3,1)</f>
        <v>1.6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493">
        <f>ROUNDUP(G3,1)</f>
        <v>1.6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4003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4003</v>
      </c>
      <c r="D33" s="2420">
        <v>10000</v>
      </c>
      <c r="E33" s="3019">
        <f>ROUND(C33*D33/10000,0)</f>
        <v>4003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5" customHeight="1" thickBot="1">
      <c r="A34" s="2349"/>
      <c r="B34" s="485" t="s">
        <v>2270</v>
      </c>
      <c r="C34" s="497">
        <f>ROUND(IF(E2="工业",C33*M42,IF(B25="楼层修正",SUM(V2:V16)*M41*10000/D34,C33*M41)),0)</f>
        <v>1001</v>
      </c>
      <c r="D34" s="2427"/>
      <c r="E34" s="3019">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301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95"/>
      <c r="B37" s="2439" t="s">
        <v>2275</v>
      </c>
      <c r="C37" s="495">
        <f>ROUND(D5*C22*C23*C24*C28*F37,0)</f>
        <v>8254</v>
      </c>
      <c r="D37" s="2420"/>
      <c r="E37" s="473">
        <f>ROUND(C37*D37/10000,0)</f>
        <v>0</v>
      </c>
      <c r="F37" s="473">
        <f>SUMIF(修正!A57:A68,G2,修正!B57:B68)</f>
        <v>0.6</v>
      </c>
      <c r="G37" s="473">
        <f>ROUND(IF(E2="工业",C37*$M$42,C37*$M$41),0)</f>
        <v>2064</v>
      </c>
      <c r="H37" s="473">
        <f>D37</f>
        <v>0</v>
      </c>
      <c r="I37" s="473">
        <f>ROUND(G37*H37/10000,0)</f>
        <v>0</v>
      </c>
      <c r="J37" s="329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96"/>
      <c r="B38" s="2321" t="s">
        <v>2276</v>
      </c>
      <c r="C38" s="495">
        <f>ROUND(D5*C22*C23*C24*C28*F38,0)</f>
        <v>4127</v>
      </c>
      <c r="D38" s="2420"/>
      <c r="E38" s="473">
        <f t="shared" ref="E38:E42" si="4">ROUND(C38*D38/10000,0)</f>
        <v>0</v>
      </c>
      <c r="F38" s="473">
        <f>SUMIF(修正!A57:A68,G2,修正!C57:C68)</f>
        <v>0.3</v>
      </c>
      <c r="G38" s="473">
        <f>ROUND(IF(E2="工业",C38*$M$42,C38*$M$41),0)</f>
        <v>1032</v>
      </c>
      <c r="H38" s="473">
        <f t="shared" ref="H38:H42" si="5">D38</f>
        <v>0</v>
      </c>
      <c r="I38" s="473">
        <f t="shared" ref="I38:I42" si="6">ROUND(G38*H38/10000,0)</f>
        <v>0</v>
      </c>
      <c r="J38" s="329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96"/>
      <c r="B39" s="2321" t="s">
        <v>2940</v>
      </c>
      <c r="C39" s="495">
        <f>ROUND(D5*C22*C23*C24*C28*F39,0)</f>
        <v>3439</v>
      </c>
      <c r="D39" s="2420"/>
      <c r="E39" s="473">
        <f t="shared" si="4"/>
        <v>0</v>
      </c>
      <c r="F39" s="473">
        <f>SUMIF(修正!A57:A68,G2,修正!D57:D68)</f>
        <v>0.25</v>
      </c>
      <c r="G39" s="473">
        <f>ROUND(IF(E2="工业",C39*$M$42,C39*$M$41),0)</f>
        <v>860</v>
      </c>
      <c r="H39" s="473">
        <f t="shared" si="5"/>
        <v>0</v>
      </c>
      <c r="I39" s="473">
        <f t="shared" si="6"/>
        <v>0</v>
      </c>
      <c r="J39" s="329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3439</v>
      </c>
      <c r="D40" s="2420"/>
      <c r="E40" s="473">
        <f t="shared" si="4"/>
        <v>0</v>
      </c>
      <c r="F40" s="495">
        <f>SUMIF(修正!A57:A68,G2,修正!E57:E68)</f>
        <v>0.25</v>
      </c>
      <c r="G40" s="473">
        <f>ROUND(IF(E2="工业",C40*$M$42,C40*$M$41),0)</f>
        <v>860</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3013">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3013" t="s">
        <v>2284</v>
      </c>
      <c r="C50" s="3013" t="s">
        <v>2285</v>
      </c>
      <c r="D50" s="3013" t="s">
        <v>2286</v>
      </c>
      <c r="E50" s="2414" t="s">
        <v>2287</v>
      </c>
      <c r="F50" s="2456" t="s">
        <v>2288</v>
      </c>
      <c r="G50" s="2457" t="s">
        <v>517</v>
      </c>
      <c r="H50" s="502" t="s">
        <v>2289</v>
      </c>
      <c r="I50" s="3013" t="s">
        <v>2290</v>
      </c>
      <c r="J50" s="3012" t="s">
        <v>1956</v>
      </c>
      <c r="K50" s="3012" t="s">
        <v>1957</v>
      </c>
      <c r="L50" s="3012" t="s">
        <v>1958</v>
      </c>
      <c r="M50" s="3012" t="s">
        <v>1959</v>
      </c>
      <c r="N50" s="3012" t="s">
        <v>1960</v>
      </c>
    </row>
    <row r="51" spans="1:14" s="2259" customFormat="1" ht="38.25">
      <c r="A51" s="2455" t="s">
        <v>2291</v>
      </c>
      <c r="B51" s="3013" t="str">
        <f>估价对象房地状况!C4</f>
        <v>估价对象位于XX商圈，周边商业氛围成熟，人流量大，商业繁华度好</v>
      </c>
      <c r="C51" s="2325"/>
      <c r="D51" s="3013">
        <f t="shared" ref="D51:D59" si="7">SUMIF($J$50:$N$50,C51,J51:N51)</f>
        <v>0</v>
      </c>
      <c r="E51" s="2458">
        <f>ROUND(SUM(D51:D59),4)</f>
        <v>0</v>
      </c>
      <c r="F51" s="2329" t="str">
        <f>IF(E2="商业",SUMIF(L1:L12,G2,N1:N12),"——")</f>
        <v>——</v>
      </c>
      <c r="G51" s="2459"/>
      <c r="H51" s="2460" t="str">
        <f t="shared" ref="H51:H59" si="8">IFERROR(ROUNDDOWN($F$51*I51/2,4),"——")</f>
        <v>——</v>
      </c>
      <c r="I51" s="3013">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3013" t="str">
        <f>估价对象房地状况!C18</f>
        <v>估价对象周边道路状况、公共交通通达情况、停车便捷程度，综合评价交通便捷度较好</v>
      </c>
      <c r="C52" s="2325"/>
      <c r="D52" s="3013">
        <f t="shared" si="7"/>
        <v>0</v>
      </c>
      <c r="E52" s="2461"/>
      <c r="F52" s="2402"/>
      <c r="G52" s="2459"/>
      <c r="H52" s="2460" t="str">
        <f t="shared" si="8"/>
        <v>——</v>
      </c>
      <c r="I52" s="3013">
        <v>0.22</v>
      </c>
      <c r="J52" s="493">
        <f t="shared" si="9"/>
        <v>0</v>
      </c>
      <c r="K52" s="493">
        <f t="shared" si="10"/>
        <v>0</v>
      </c>
      <c r="L52" s="493">
        <v>0</v>
      </c>
      <c r="M52" s="493">
        <f t="shared" si="11"/>
        <v>0</v>
      </c>
      <c r="N52" s="493">
        <f t="shared" si="11"/>
        <v>0</v>
      </c>
    </row>
    <row r="53" spans="1:14" s="2259" customFormat="1" ht="36">
      <c r="A53" s="2462" t="s">
        <v>2814</v>
      </c>
      <c r="B53" s="3013">
        <f>估价对象房地状况!C19</f>
        <v>0</v>
      </c>
      <c r="C53" s="2325"/>
      <c r="D53" s="3013">
        <f t="shared" si="7"/>
        <v>0</v>
      </c>
      <c r="E53" s="2461"/>
      <c r="F53" s="2402"/>
      <c r="G53" s="2459"/>
      <c r="H53" s="2460" t="str">
        <f t="shared" si="8"/>
        <v>——</v>
      </c>
      <c r="I53" s="3013">
        <v>0.12</v>
      </c>
      <c r="J53" s="493">
        <f t="shared" si="9"/>
        <v>0</v>
      </c>
      <c r="K53" s="493">
        <f t="shared" si="10"/>
        <v>0</v>
      </c>
      <c r="L53" s="493">
        <v>0</v>
      </c>
      <c r="M53" s="493">
        <f t="shared" si="11"/>
        <v>0</v>
      </c>
      <c r="N53" s="493">
        <f t="shared" si="11"/>
        <v>0</v>
      </c>
    </row>
    <row r="54" spans="1:14" s="2259" customFormat="1" ht="36.75">
      <c r="A54" s="2455" t="s">
        <v>2293</v>
      </c>
      <c r="B54" s="2463" t="s">
        <v>2294</v>
      </c>
      <c r="C54" s="2325"/>
      <c r="D54" s="3013">
        <f t="shared" si="7"/>
        <v>0</v>
      </c>
      <c r="E54" s="2461"/>
      <c r="F54" s="2402"/>
      <c r="G54" s="2459"/>
      <c r="H54" s="2460" t="str">
        <f t="shared" si="8"/>
        <v>——</v>
      </c>
      <c r="I54" s="3013">
        <v>0.05</v>
      </c>
      <c r="J54" s="493">
        <f t="shared" si="9"/>
        <v>0</v>
      </c>
      <c r="K54" s="493">
        <f t="shared" si="10"/>
        <v>0</v>
      </c>
      <c r="L54" s="493">
        <v>0</v>
      </c>
      <c r="M54" s="493">
        <f t="shared" si="11"/>
        <v>0</v>
      </c>
      <c r="N54" s="493">
        <f t="shared" si="11"/>
        <v>0</v>
      </c>
    </row>
    <row r="55" spans="1:14" s="2259" customFormat="1" ht="24">
      <c r="A55" s="2455" t="s">
        <v>2295</v>
      </c>
      <c r="B55" s="3013">
        <f>估价对象房地状况!C24</f>
        <v>0</v>
      </c>
      <c r="C55" s="2325"/>
      <c r="D55" s="3013">
        <f t="shared" si="7"/>
        <v>0</v>
      </c>
      <c r="E55" s="2461"/>
      <c r="F55" s="2402"/>
      <c r="G55" s="2459"/>
      <c r="H55" s="2460" t="str">
        <f t="shared" si="8"/>
        <v>——</v>
      </c>
      <c r="I55" s="3013">
        <v>0.08</v>
      </c>
      <c r="J55" s="493">
        <f t="shared" si="9"/>
        <v>0</v>
      </c>
      <c r="K55" s="493">
        <f t="shared" si="10"/>
        <v>0</v>
      </c>
      <c r="L55" s="493">
        <v>0</v>
      </c>
      <c r="M55" s="493">
        <f t="shared" si="11"/>
        <v>0</v>
      </c>
      <c r="N55" s="493">
        <f t="shared" si="11"/>
        <v>0</v>
      </c>
    </row>
    <row r="56" spans="1:14" s="2259" customFormat="1" ht="24">
      <c r="A56" s="2455" t="s">
        <v>2296</v>
      </c>
      <c r="B56" s="2464" t="s">
        <v>2297</v>
      </c>
      <c r="C56" s="2325"/>
      <c r="D56" s="3013">
        <f t="shared" si="7"/>
        <v>0</v>
      </c>
      <c r="E56" s="2461"/>
      <c r="F56" s="2402"/>
      <c r="G56" s="2459"/>
      <c r="H56" s="2460" t="str">
        <f t="shared" si="8"/>
        <v>——</v>
      </c>
      <c r="I56" s="3013">
        <v>0.05</v>
      </c>
      <c r="J56" s="493">
        <f t="shared" si="9"/>
        <v>0</v>
      </c>
      <c r="K56" s="493">
        <f t="shared" si="10"/>
        <v>0</v>
      </c>
      <c r="L56" s="493">
        <v>0</v>
      </c>
      <c r="M56" s="493">
        <f t="shared" si="11"/>
        <v>0</v>
      </c>
      <c r="N56" s="493">
        <f t="shared" si="11"/>
        <v>0</v>
      </c>
    </row>
    <row r="57" spans="1:14" s="2259" customFormat="1" ht="25.5">
      <c r="A57" s="2465" t="s">
        <v>2298</v>
      </c>
      <c r="B57" s="3014" t="str">
        <f>估价对象房地状况!C21</f>
        <v>估价对象所在区域公共配套设施齐备情况</v>
      </c>
      <c r="C57" s="2325"/>
      <c r="D57" s="3013">
        <f t="shared" si="7"/>
        <v>0</v>
      </c>
      <c r="E57" s="2461"/>
      <c r="F57" s="2402"/>
      <c r="G57" s="2459"/>
      <c r="H57" s="2460" t="str">
        <f t="shared" si="8"/>
        <v>——</v>
      </c>
      <c r="I57" s="3013">
        <v>0.05</v>
      </c>
      <c r="J57" s="493">
        <f t="shared" si="9"/>
        <v>0</v>
      </c>
      <c r="K57" s="493">
        <f t="shared" si="10"/>
        <v>0</v>
      </c>
      <c r="L57" s="493">
        <v>0</v>
      </c>
      <c r="M57" s="493">
        <f t="shared" si="11"/>
        <v>0</v>
      </c>
      <c r="N57" s="493">
        <f t="shared" si="11"/>
        <v>0</v>
      </c>
    </row>
    <row r="58" spans="1:14" s="2259" customFormat="1" ht="24">
      <c r="A58" s="2465" t="s">
        <v>2299</v>
      </c>
      <c r="B58" s="3013" t="str">
        <f>估价对象房地状况!C22</f>
        <v>估价对象所在区域基础设施水平</v>
      </c>
      <c r="C58" s="2325"/>
      <c r="D58" s="3013">
        <f t="shared" si="7"/>
        <v>0</v>
      </c>
      <c r="E58" s="2461"/>
      <c r="F58" s="2402"/>
      <c r="G58" s="2459"/>
      <c r="H58" s="2460" t="str">
        <f t="shared" si="8"/>
        <v>——</v>
      </c>
      <c r="I58" s="3013">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3013">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3013"/>
      <c r="C61" s="3013" t="s">
        <v>2285</v>
      </c>
      <c r="D61" s="3013" t="s">
        <v>2286</v>
      </c>
      <c r="E61" s="2414" t="s">
        <v>2287</v>
      </c>
      <c r="F61" s="2456" t="s">
        <v>2302</v>
      </c>
      <c r="G61" s="3013" t="s">
        <v>517</v>
      </c>
      <c r="H61" s="502" t="s">
        <v>2289</v>
      </c>
      <c r="I61" s="3013" t="s">
        <v>2290</v>
      </c>
      <c r="J61" s="3012" t="s">
        <v>1956</v>
      </c>
      <c r="K61" s="3012" t="s">
        <v>1957</v>
      </c>
      <c r="L61" s="3012" t="s">
        <v>1958</v>
      </c>
      <c r="M61" s="3012" t="s">
        <v>1959</v>
      </c>
      <c r="N61" s="3012" t="s">
        <v>1960</v>
      </c>
    </row>
    <row r="62" spans="1:14" s="2259" customFormat="1" ht="38.25">
      <c r="A62" s="2455" t="s">
        <v>2303</v>
      </c>
      <c r="B62" s="3013" t="str">
        <f>估价对象房地状况!C17</f>
        <v>估价对象位于XX商圈，周边办公楼项目较多，入驻率高，办公集聚程度较好</v>
      </c>
      <c r="C62" s="2325"/>
      <c r="D62" s="3013">
        <f>SUMIF($J$61:$N$61,C62,J62:N62)</f>
        <v>0</v>
      </c>
      <c r="E62" s="2458">
        <f>ROUND(SUM(D62:D70),4)</f>
        <v>0</v>
      </c>
      <c r="F62" s="2329" t="str">
        <f>IF(E2="办公",SUMIF(L1:L12,G2,N1:N12),"——")</f>
        <v>——</v>
      </c>
      <c r="G62" s="2459"/>
      <c r="H62" s="2460" t="str">
        <f t="shared" ref="H62:H70" si="12">IFERROR(ROUNDDOWN($F$62*I62/2,4),"——")</f>
        <v>——</v>
      </c>
      <c r="I62" s="3013">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3013" t="str">
        <f>估价对象房地状况!C18</f>
        <v>估价对象周边道路状况、公共交通通达情况、停车便捷程度，综合评价交通便捷度较好</v>
      </c>
      <c r="C63" s="2325"/>
      <c r="D63" s="3013">
        <f t="shared" ref="D63:D70" si="16">SUMIF($J$61:$N$61,C63,J63:N63)</f>
        <v>0</v>
      </c>
      <c r="E63" s="2461"/>
      <c r="F63" s="2402"/>
      <c r="G63" s="2459"/>
      <c r="H63" s="2460" t="str">
        <f t="shared" si="12"/>
        <v>——</v>
      </c>
      <c r="I63" s="3013">
        <v>0.26</v>
      </c>
      <c r="J63" s="493">
        <f t="shared" si="13"/>
        <v>0</v>
      </c>
      <c r="K63" s="493">
        <f t="shared" si="14"/>
        <v>0</v>
      </c>
      <c r="L63" s="493">
        <v>0</v>
      </c>
      <c r="M63" s="493">
        <f t="shared" si="15"/>
        <v>0</v>
      </c>
      <c r="N63" s="493">
        <f t="shared" si="15"/>
        <v>0</v>
      </c>
    </row>
    <row r="64" spans="1:14" s="2259" customFormat="1" ht="36">
      <c r="A64" s="2462" t="s">
        <v>2814</v>
      </c>
      <c r="B64" s="3013">
        <f>估价对象房地状况!C19</f>
        <v>0</v>
      </c>
      <c r="C64" s="2325"/>
      <c r="D64" s="3013">
        <f t="shared" si="16"/>
        <v>0</v>
      </c>
      <c r="E64" s="2461"/>
      <c r="F64" s="2402"/>
      <c r="G64" s="2459"/>
      <c r="H64" s="2460" t="str">
        <f t="shared" si="12"/>
        <v>——</v>
      </c>
      <c r="I64" s="3013">
        <v>0.11</v>
      </c>
      <c r="J64" s="493">
        <f t="shared" si="13"/>
        <v>0</v>
      </c>
      <c r="K64" s="493">
        <f t="shared" si="14"/>
        <v>0</v>
      </c>
      <c r="L64" s="493">
        <v>0</v>
      </c>
      <c r="M64" s="493">
        <f t="shared" si="15"/>
        <v>0</v>
      </c>
      <c r="N64" s="493">
        <f t="shared" si="15"/>
        <v>0</v>
      </c>
    </row>
    <row r="65" spans="1:33" s="2259" customFormat="1" ht="36.75">
      <c r="A65" s="2455" t="s">
        <v>2293</v>
      </c>
      <c r="B65" s="2463" t="s">
        <v>2294</v>
      </c>
      <c r="C65" s="2325"/>
      <c r="D65" s="3013">
        <f t="shared" si="16"/>
        <v>0</v>
      </c>
      <c r="E65" s="2461"/>
      <c r="F65" s="2402"/>
      <c r="G65" s="2459"/>
      <c r="H65" s="2460" t="str">
        <f t="shared" si="12"/>
        <v>——</v>
      </c>
      <c r="I65" s="3013">
        <v>0.05</v>
      </c>
      <c r="J65" s="493">
        <f t="shared" si="13"/>
        <v>0</v>
      </c>
      <c r="K65" s="493">
        <f t="shared" si="14"/>
        <v>0</v>
      </c>
      <c r="L65" s="493">
        <v>0</v>
      </c>
      <c r="M65" s="493">
        <f t="shared" si="15"/>
        <v>0</v>
      </c>
      <c r="N65" s="493">
        <f t="shared" si="15"/>
        <v>0</v>
      </c>
    </row>
    <row r="66" spans="1:33" s="2259" customFormat="1" ht="24">
      <c r="A66" s="2455" t="s">
        <v>2295</v>
      </c>
      <c r="B66" s="3013">
        <f>估价对象房地状况!C24</f>
        <v>0</v>
      </c>
      <c r="C66" s="2325"/>
      <c r="D66" s="3013">
        <f t="shared" si="16"/>
        <v>0</v>
      </c>
      <c r="E66" s="2461"/>
      <c r="F66" s="2402"/>
      <c r="G66" s="2459"/>
      <c r="H66" s="2460" t="str">
        <f t="shared" si="12"/>
        <v>——</v>
      </c>
      <c r="I66" s="3013">
        <v>0.05</v>
      </c>
      <c r="J66" s="493">
        <f t="shared" si="13"/>
        <v>0</v>
      </c>
      <c r="K66" s="493">
        <f t="shared" si="14"/>
        <v>0</v>
      </c>
      <c r="L66" s="493">
        <v>0</v>
      </c>
      <c r="M66" s="493">
        <f t="shared" si="15"/>
        <v>0</v>
      </c>
      <c r="N66" s="493">
        <f t="shared" si="15"/>
        <v>0</v>
      </c>
    </row>
    <row r="67" spans="1:33" s="2259" customFormat="1" ht="24">
      <c r="A67" s="2455" t="s">
        <v>2296</v>
      </c>
      <c r="B67" s="2464" t="s">
        <v>2297</v>
      </c>
      <c r="C67" s="2325"/>
      <c r="D67" s="3013">
        <f t="shared" si="16"/>
        <v>0</v>
      </c>
      <c r="E67" s="2461"/>
      <c r="F67" s="2402"/>
      <c r="G67" s="2459"/>
      <c r="H67" s="2460" t="str">
        <f t="shared" si="12"/>
        <v>——</v>
      </c>
      <c r="I67" s="3013">
        <v>0.06</v>
      </c>
      <c r="J67" s="493">
        <f t="shared" si="13"/>
        <v>0</v>
      </c>
      <c r="K67" s="493">
        <f t="shared" si="14"/>
        <v>0</v>
      </c>
      <c r="L67" s="493">
        <v>0</v>
      </c>
      <c r="M67" s="493">
        <f t="shared" si="15"/>
        <v>0</v>
      </c>
      <c r="N67" s="493">
        <f t="shared" si="15"/>
        <v>0</v>
      </c>
    </row>
    <row r="68" spans="1:33" s="2259" customFormat="1" ht="25.5">
      <c r="A68" s="2455" t="s">
        <v>2298</v>
      </c>
      <c r="B68" s="3014" t="str">
        <f>估价对象房地状况!C21</f>
        <v>估价对象所在区域公共配套设施齐备情况</v>
      </c>
      <c r="C68" s="2325"/>
      <c r="D68" s="3013">
        <f t="shared" si="16"/>
        <v>0</v>
      </c>
      <c r="E68" s="2461"/>
      <c r="F68" s="2402"/>
      <c r="G68" s="2459"/>
      <c r="H68" s="2460" t="str">
        <f t="shared" si="12"/>
        <v>——</v>
      </c>
      <c r="I68" s="3013">
        <v>0.06</v>
      </c>
      <c r="J68" s="493">
        <f t="shared" si="13"/>
        <v>0</v>
      </c>
      <c r="K68" s="493">
        <f t="shared" si="14"/>
        <v>0</v>
      </c>
      <c r="L68" s="493">
        <v>0</v>
      </c>
      <c r="M68" s="493">
        <f t="shared" si="15"/>
        <v>0</v>
      </c>
      <c r="N68" s="493">
        <f t="shared" si="15"/>
        <v>0</v>
      </c>
    </row>
    <row r="69" spans="1:33" s="2259" customFormat="1" ht="24">
      <c r="A69" s="2455" t="s">
        <v>2299</v>
      </c>
      <c r="B69" s="3014" t="str">
        <f>估价对象房地状况!C22</f>
        <v>估价对象所在区域基础设施水平</v>
      </c>
      <c r="C69" s="2325"/>
      <c r="D69" s="3013">
        <f t="shared" si="16"/>
        <v>0</v>
      </c>
      <c r="E69" s="2461"/>
      <c r="F69" s="2402"/>
      <c r="G69" s="2459"/>
      <c r="H69" s="2460" t="str">
        <f t="shared" si="12"/>
        <v>——</v>
      </c>
      <c r="I69" s="3013">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3013">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3013"/>
      <c r="C72" s="3013" t="s">
        <v>2285</v>
      </c>
      <c r="D72" s="3013" t="s">
        <v>2286</v>
      </c>
      <c r="E72" s="2414" t="s">
        <v>2287</v>
      </c>
      <c r="F72" s="2456" t="s">
        <v>2302</v>
      </c>
      <c r="G72" s="3013" t="s">
        <v>517</v>
      </c>
      <c r="H72" s="502" t="s">
        <v>2289</v>
      </c>
      <c r="I72" s="3013" t="s">
        <v>2290</v>
      </c>
      <c r="J72" s="3012" t="s">
        <v>1956</v>
      </c>
      <c r="K72" s="3012" t="s">
        <v>1957</v>
      </c>
      <c r="L72" s="3012" t="s">
        <v>1958</v>
      </c>
      <c r="M72" s="3012" t="s">
        <v>1959</v>
      </c>
      <c r="N72" s="3012" t="s">
        <v>1960</v>
      </c>
    </row>
    <row r="73" spans="1:33" s="2259" customFormat="1" ht="51">
      <c r="A73" s="2462" t="s">
        <v>2816</v>
      </c>
      <c r="B73" s="3013" t="str">
        <f>估价对象房地状况!C15</f>
        <v>估价对象周边居住用地比例、居住小区规模和社区发展完善程度，综合评价居住社区成熟度一般</v>
      </c>
      <c r="C73" s="2325"/>
      <c r="D73" s="3013">
        <f t="shared" ref="D73:D81" si="17">SUMIF($J$72:$N$72,C73,J73:N73)</f>
        <v>0</v>
      </c>
      <c r="E73" s="2458">
        <f>ROUND(SUM(D73:D81),4)</f>
        <v>0</v>
      </c>
      <c r="F73" s="2329">
        <f>IF(E2="住宅",SUMIF(L1:L12,G2,N1:N12),"——")</f>
        <v>0.1</v>
      </c>
      <c r="G73" s="2459"/>
      <c r="H73" s="2460">
        <f t="shared" ref="H73:H81" si="18">IFERROR(ROUNDDOWN($F$73*I73/2,4),"——")</f>
        <v>0.01</v>
      </c>
      <c r="I73" s="3013">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3013" t="str">
        <f>估价对象房地状况!C18</f>
        <v>估价对象周边道路状况、公共交通通达情况、停车便捷程度，综合评价交通便捷度较好</v>
      </c>
      <c r="C74" s="2325"/>
      <c r="D74" s="3013">
        <f t="shared" si="17"/>
        <v>0</v>
      </c>
      <c r="E74" s="2461"/>
      <c r="F74" s="2329"/>
      <c r="G74" s="2459"/>
      <c r="H74" s="2460">
        <f t="shared" si="18"/>
        <v>1.2999999999999999E-2</v>
      </c>
      <c r="I74" s="3013">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3013">
        <f>估价对象房地状况!C19</f>
        <v>0</v>
      </c>
      <c r="C75" s="2325"/>
      <c r="D75" s="3013">
        <f t="shared" si="17"/>
        <v>0</v>
      </c>
      <c r="E75" s="2461"/>
      <c r="F75" s="2329"/>
      <c r="G75" s="2459"/>
      <c r="H75" s="2460">
        <f t="shared" si="18"/>
        <v>5.0000000000000001E-3</v>
      </c>
      <c r="I75" s="3013">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3013">
        <f>估价对象房地状况!C24</f>
        <v>0</v>
      </c>
      <c r="C76" s="2325"/>
      <c r="D76" s="3013">
        <f t="shared" si="17"/>
        <v>0</v>
      </c>
      <c r="E76" s="2461"/>
      <c r="F76" s="2329"/>
      <c r="G76" s="2459"/>
      <c r="H76" s="2460">
        <f t="shared" si="18"/>
        <v>2.5000000000000001E-3</v>
      </c>
      <c r="I76" s="3013">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3014" t="str">
        <f>估价对象房地状况!C21</f>
        <v>估价对象所在区域公共配套设施齐备情况</v>
      </c>
      <c r="C77" s="2325"/>
      <c r="D77" s="3013">
        <f t="shared" si="17"/>
        <v>0</v>
      </c>
      <c r="E77" s="2461"/>
      <c r="F77" s="2329"/>
      <c r="G77" s="2459"/>
      <c r="H77" s="2460">
        <f t="shared" si="18"/>
        <v>4.0000000000000001E-3</v>
      </c>
      <c r="I77" s="3013">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3014" t="str">
        <f>估价对象房地状况!C22</f>
        <v>估价对象所在区域基础设施水平</v>
      </c>
      <c r="C78" s="2325"/>
      <c r="D78" s="3013">
        <f t="shared" si="17"/>
        <v>0</v>
      </c>
      <c r="E78" s="2461"/>
      <c r="F78" s="2329"/>
      <c r="G78" s="2459"/>
      <c r="H78" s="2460">
        <f t="shared" si="18"/>
        <v>4.4999999999999997E-3</v>
      </c>
      <c r="I78" s="3013">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3013">
        <f t="shared" si="17"/>
        <v>0</v>
      </c>
      <c r="E79" s="2461"/>
      <c r="F79" s="2329"/>
      <c r="G79" s="2459"/>
      <c r="H79" s="2460">
        <f t="shared" si="18"/>
        <v>2.5000000000000001E-3</v>
      </c>
      <c r="I79" s="3013">
        <v>0.05</v>
      </c>
      <c r="J79" s="493">
        <f t="shared" si="19"/>
        <v>0</v>
      </c>
      <c r="K79" s="493">
        <f t="shared" si="20"/>
        <v>0</v>
      </c>
      <c r="L79" s="493">
        <v>0</v>
      </c>
      <c r="M79" s="493">
        <f t="shared" si="21"/>
        <v>0</v>
      </c>
      <c r="N79" s="493">
        <f t="shared" si="21"/>
        <v>0</v>
      </c>
      <c r="AA79" s="2261"/>
      <c r="AG79" s="2259"/>
    </row>
    <row r="80" spans="1:33" ht="25.5">
      <c r="A80" s="2455" t="s">
        <v>2300</v>
      </c>
      <c r="B80" s="3013" t="str">
        <f>估价对象房地状况!C20</f>
        <v>区域自然环境：；人文环境；综合评价环境状况一般</v>
      </c>
      <c r="C80" s="2325"/>
      <c r="D80" s="3013">
        <f t="shared" si="17"/>
        <v>0</v>
      </c>
      <c r="E80" s="2461"/>
      <c r="F80" s="2329"/>
      <c r="G80" s="2459"/>
      <c r="H80" s="2460">
        <f t="shared" si="18"/>
        <v>6.0000000000000001E-3</v>
      </c>
      <c r="I80" s="3013">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3013">
        <f t="shared" si="17"/>
        <v>0</v>
      </c>
      <c r="E81" s="487"/>
      <c r="F81" s="2329"/>
      <c r="G81" s="2459"/>
      <c r="H81" s="2460">
        <f t="shared" si="18"/>
        <v>2.5000000000000001E-3</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3013"/>
      <c r="C83" s="3013" t="s">
        <v>2285</v>
      </c>
      <c r="D83" s="3013" t="s">
        <v>2286</v>
      </c>
      <c r="E83" s="2414" t="s">
        <v>2287</v>
      </c>
      <c r="F83" s="2456" t="s">
        <v>2302</v>
      </c>
      <c r="G83" s="3013" t="s">
        <v>517</v>
      </c>
      <c r="H83" s="502" t="s">
        <v>2289</v>
      </c>
      <c r="I83" s="3013" t="s">
        <v>2290</v>
      </c>
      <c r="J83" s="3012" t="s">
        <v>1956</v>
      </c>
      <c r="K83" s="3012" t="s">
        <v>1957</v>
      </c>
      <c r="L83" s="3012" t="s">
        <v>1958</v>
      </c>
      <c r="M83" s="3012" t="s">
        <v>1959</v>
      </c>
      <c r="N83" s="3012" t="s">
        <v>1960</v>
      </c>
      <c r="AA83" s="2261"/>
      <c r="AG83" s="2259"/>
    </row>
    <row r="84" spans="1:33" ht="25.5">
      <c r="A84" s="2455" t="s">
        <v>2308</v>
      </c>
      <c r="B84" s="3013" t="str">
        <f>估价对象房地状况!G15</f>
        <v>估价对象位于XX开发区，园区建设成熟度XX，产业集聚程度XX</v>
      </c>
      <c r="C84" s="2325"/>
      <c r="D84" s="3013">
        <f t="shared" ref="D84:D91" si="22">SUMIF($J$83:$N$83,C84,J84:N84)</f>
        <v>0</v>
      </c>
      <c r="E84" s="2458">
        <f>ROUND(SUM(D84:D91),4)</f>
        <v>0</v>
      </c>
      <c r="F84" s="2329" t="str">
        <f>IF(E2="工业",SUMIF(L1:L12,G2,N1:N12),"——")</f>
        <v>——</v>
      </c>
      <c r="G84" s="2459"/>
      <c r="H84" s="2460" t="str">
        <f t="shared" ref="H84:H91" si="23">IFERROR(ROUNDDOWN($F$84*I84/2,4),"——")</f>
        <v>——</v>
      </c>
      <c r="I84" s="3013">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3013" t="str">
        <f>估价对象房地状况!G16</f>
        <v>估价对象周边道路状况、公共交通通达情况、停车便捷程度，综合评价交通便捷度较好</v>
      </c>
      <c r="C85" s="2325"/>
      <c r="D85" s="3013">
        <f t="shared" si="22"/>
        <v>0</v>
      </c>
      <c r="E85" s="2461"/>
      <c r="F85" s="2329"/>
      <c r="G85" s="2459"/>
      <c r="H85" s="2460" t="str">
        <f t="shared" si="23"/>
        <v>——</v>
      </c>
      <c r="I85" s="3013">
        <v>0.3</v>
      </c>
      <c r="J85" s="493">
        <f t="shared" si="24"/>
        <v>0</v>
      </c>
      <c r="K85" s="493">
        <f t="shared" si="25"/>
        <v>0</v>
      </c>
      <c r="L85" s="493">
        <v>0</v>
      </c>
      <c r="M85" s="493">
        <f t="shared" si="26"/>
        <v>0</v>
      </c>
      <c r="N85" s="493">
        <f t="shared" si="26"/>
        <v>0</v>
      </c>
      <c r="AA85" s="2261"/>
      <c r="AG85" s="2259"/>
    </row>
    <row r="86" spans="1:33" ht="36">
      <c r="A86" s="2462" t="s">
        <v>2814</v>
      </c>
      <c r="B86" s="3013">
        <f>估价对象房地状况!G17</f>
        <v>0</v>
      </c>
      <c r="C86" s="2325"/>
      <c r="D86" s="3013">
        <f t="shared" si="22"/>
        <v>0</v>
      </c>
      <c r="E86" s="2461"/>
      <c r="F86" s="2329"/>
      <c r="G86" s="2459"/>
      <c r="H86" s="2460" t="str">
        <f t="shared" si="23"/>
        <v>——</v>
      </c>
      <c r="I86" s="3013">
        <v>0.1</v>
      </c>
      <c r="J86" s="493">
        <f t="shared" si="24"/>
        <v>0</v>
      </c>
      <c r="K86" s="493">
        <f t="shared" si="25"/>
        <v>0</v>
      </c>
      <c r="L86" s="493">
        <v>0</v>
      </c>
      <c r="M86" s="493">
        <f t="shared" si="26"/>
        <v>0</v>
      </c>
      <c r="N86" s="493">
        <f t="shared" si="26"/>
        <v>0</v>
      </c>
      <c r="AA86" s="2261"/>
      <c r="AG86" s="2259"/>
    </row>
    <row r="87" spans="1:33" ht="14.25">
      <c r="A87" s="2455" t="s">
        <v>2305</v>
      </c>
      <c r="B87" s="3013">
        <f>估价对象房地状况!G22</f>
        <v>0</v>
      </c>
      <c r="C87" s="2325"/>
      <c r="D87" s="3013">
        <f t="shared" si="22"/>
        <v>0</v>
      </c>
      <c r="E87" s="2461"/>
      <c r="F87" s="2329"/>
      <c r="G87" s="2459"/>
      <c r="H87" s="2460" t="str">
        <f t="shared" si="23"/>
        <v>——</v>
      </c>
      <c r="I87" s="3013">
        <v>0.05</v>
      </c>
      <c r="J87" s="493">
        <f t="shared" si="24"/>
        <v>0</v>
      </c>
      <c r="K87" s="493">
        <f t="shared" si="25"/>
        <v>0</v>
      </c>
      <c r="L87" s="493">
        <v>0</v>
      </c>
      <c r="M87" s="493">
        <f t="shared" si="26"/>
        <v>0</v>
      </c>
      <c r="N87" s="493">
        <f t="shared" si="26"/>
        <v>0</v>
      </c>
      <c r="AA87" s="2261"/>
      <c r="AG87" s="2259"/>
    </row>
    <row r="88" spans="1:33" ht="25.5">
      <c r="A88" s="2455" t="s">
        <v>2298</v>
      </c>
      <c r="B88" s="3014" t="str">
        <f>估价对象房地状况!G19</f>
        <v>估价对象所在区域公共配套设施齐备情况</v>
      </c>
      <c r="C88" s="2325"/>
      <c r="D88" s="3013">
        <f t="shared" si="22"/>
        <v>0</v>
      </c>
      <c r="E88" s="2461"/>
      <c r="F88" s="2329"/>
      <c r="G88" s="2459"/>
      <c r="H88" s="2460" t="str">
        <f t="shared" si="23"/>
        <v>——</v>
      </c>
      <c r="I88" s="3013">
        <v>0.06</v>
      </c>
      <c r="J88" s="493">
        <f t="shared" si="24"/>
        <v>0</v>
      </c>
      <c r="K88" s="493">
        <f t="shared" si="25"/>
        <v>0</v>
      </c>
      <c r="L88" s="493">
        <v>0</v>
      </c>
      <c r="M88" s="493">
        <f t="shared" si="26"/>
        <v>0</v>
      </c>
      <c r="N88" s="493">
        <f t="shared" si="26"/>
        <v>0</v>
      </c>
    </row>
    <row r="89" spans="1:33" ht="24">
      <c r="A89" s="2455" t="s">
        <v>2299</v>
      </c>
      <c r="B89" s="3014" t="str">
        <f>估价对象房地状况!G20</f>
        <v>估价对象所在区域基础设施水平</v>
      </c>
      <c r="C89" s="2325"/>
      <c r="D89" s="3013">
        <f t="shared" si="22"/>
        <v>0</v>
      </c>
      <c r="E89" s="2461"/>
      <c r="F89" s="2329"/>
      <c r="G89" s="2459"/>
      <c r="H89" s="2460" t="str">
        <f t="shared" si="23"/>
        <v>——</v>
      </c>
      <c r="I89" s="3013">
        <v>0.12</v>
      </c>
      <c r="J89" s="493">
        <f t="shared" si="24"/>
        <v>0</v>
      </c>
      <c r="K89" s="493">
        <f t="shared" si="25"/>
        <v>0</v>
      </c>
      <c r="L89" s="493">
        <v>0</v>
      </c>
      <c r="M89" s="493">
        <f t="shared" si="26"/>
        <v>0</v>
      </c>
      <c r="N89" s="493">
        <f t="shared" si="26"/>
        <v>0</v>
      </c>
    </row>
    <row r="90" spans="1:33" ht="24">
      <c r="A90" s="2455" t="s">
        <v>2296</v>
      </c>
      <c r="B90" s="2464" t="s">
        <v>2309</v>
      </c>
      <c r="C90" s="2325"/>
      <c r="D90" s="3013">
        <f t="shared" si="22"/>
        <v>0</v>
      </c>
      <c r="E90" s="2461"/>
      <c r="F90" s="2329"/>
      <c r="G90" s="2459"/>
      <c r="H90" s="2460" t="str">
        <f t="shared" si="23"/>
        <v>——</v>
      </c>
      <c r="I90" s="3013">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3013">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2710</v>
      </c>
      <c r="B92" s="2450">
        <f>1+E94</f>
        <v>1</v>
      </c>
      <c r="C92" s="2473"/>
      <c r="D92" s="2473"/>
      <c r="E92" s="2473"/>
      <c r="F92" s="2473"/>
      <c r="S92" s="2259"/>
      <c r="T92" s="2259"/>
      <c r="U92" s="2259"/>
      <c r="V92" s="2259"/>
      <c r="W92" s="2259"/>
      <c r="X92" s="2259"/>
      <c r="Y92" s="2259"/>
    </row>
    <row r="93" spans="1:33" s="2259" customFormat="1" ht="24.75">
      <c r="A93" s="2455" t="s">
        <v>2283</v>
      </c>
      <c r="B93" s="3013"/>
      <c r="C93" s="3013" t="s">
        <v>2285</v>
      </c>
      <c r="D93" s="3013" t="s">
        <v>2286</v>
      </c>
      <c r="E93" s="2414" t="s">
        <v>2287</v>
      </c>
      <c r="F93" s="2456" t="s">
        <v>2302</v>
      </c>
      <c r="G93" s="3013" t="s">
        <v>517</v>
      </c>
      <c r="H93" s="502" t="s">
        <v>2289</v>
      </c>
      <c r="I93" s="3013" t="s">
        <v>2290</v>
      </c>
      <c r="J93" s="3012" t="s">
        <v>1956</v>
      </c>
      <c r="K93" s="3012" t="s">
        <v>1957</v>
      </c>
      <c r="L93" s="3012" t="s">
        <v>1958</v>
      </c>
      <c r="M93" s="3012" t="s">
        <v>1959</v>
      </c>
      <c r="N93" s="3012" t="s">
        <v>1960</v>
      </c>
    </row>
    <row r="94" spans="1:33" s="2259" customFormat="1" ht="24">
      <c r="A94" s="2462" t="s">
        <v>2818</v>
      </c>
      <c r="B94" s="605"/>
      <c r="C94" s="2325"/>
      <c r="D94" s="3013">
        <f>SUMIF($J$93:$N$93,C94,J94:N94)</f>
        <v>0</v>
      </c>
      <c r="E94" s="2458">
        <f>ROUND(SUM(D94:D102),4)</f>
        <v>0</v>
      </c>
      <c r="F94" s="2329" t="str">
        <f>IF(E2="公共服务",SUMIF(L1:L12,G2,N1:N12),"——")</f>
        <v>——</v>
      </c>
      <c r="G94" s="2459"/>
      <c r="H94" s="2460" t="str">
        <f>IFERROR(ROUNDDOWN($F$94*I94/2,4),"——")</f>
        <v>——</v>
      </c>
      <c r="I94" s="3013">
        <v>0.25</v>
      </c>
      <c r="J94" s="493">
        <f t="shared" ref="J94:J102" si="27">K94+$G94</f>
        <v>0</v>
      </c>
      <c r="K94" s="493">
        <f t="shared" ref="K94:K102" si="28">$L94+$G94</f>
        <v>0</v>
      </c>
      <c r="L94" s="493">
        <v>0</v>
      </c>
      <c r="M94" s="493">
        <f t="shared" ref="M94:N102" si="29">L94-$G94</f>
        <v>0</v>
      </c>
      <c r="N94" s="493">
        <f t="shared" si="29"/>
        <v>0</v>
      </c>
    </row>
    <row r="95" spans="1:33" s="2259" customFormat="1" ht="38.25">
      <c r="A95" s="2455" t="s">
        <v>2292</v>
      </c>
      <c r="B95" s="3013" t="str">
        <f>估价对象房地状况!C18</f>
        <v>估价对象周边道路状况、公共交通通达情况、停车便捷程度，综合评价交通便捷度较好</v>
      </c>
      <c r="C95" s="2325"/>
      <c r="D95" s="3013">
        <f t="shared" ref="D95:D102" si="30">SUMIF($J$61:$N$61,C95,J95:N95)</f>
        <v>0</v>
      </c>
      <c r="E95" s="2461"/>
      <c r="F95" s="2329"/>
      <c r="G95" s="2459"/>
      <c r="H95" s="2460" t="str">
        <f>IFERROR(ROUNDDOWN($F$94*I95/2,4),"——")</f>
        <v>——</v>
      </c>
      <c r="I95" s="3013">
        <v>0.26</v>
      </c>
      <c r="J95" s="493">
        <f t="shared" si="27"/>
        <v>0</v>
      </c>
      <c r="K95" s="493">
        <f t="shared" si="28"/>
        <v>0</v>
      </c>
      <c r="L95" s="493">
        <v>0</v>
      </c>
      <c r="M95" s="493">
        <f t="shared" si="29"/>
        <v>0</v>
      </c>
      <c r="N95" s="493">
        <f t="shared" si="29"/>
        <v>0</v>
      </c>
    </row>
    <row r="96" spans="1:33" s="2259" customFormat="1" ht="36">
      <c r="A96" s="2462" t="s">
        <v>2814</v>
      </c>
      <c r="B96" s="3013">
        <f>估价对象房地状况!C19</f>
        <v>0</v>
      </c>
      <c r="C96" s="2325"/>
      <c r="D96" s="3013">
        <f t="shared" si="30"/>
        <v>0</v>
      </c>
      <c r="E96" s="2461"/>
      <c r="F96" s="2329"/>
      <c r="G96" s="2459"/>
      <c r="H96" s="2460" t="str">
        <f t="shared" ref="H96:H102" si="31">IFERROR(ROUNDDOWN($F$94*I96/2,4),"——")</f>
        <v>——</v>
      </c>
      <c r="I96" s="3013">
        <v>0.11</v>
      </c>
      <c r="J96" s="493">
        <f t="shared" si="27"/>
        <v>0</v>
      </c>
      <c r="K96" s="493">
        <f t="shared" si="28"/>
        <v>0</v>
      </c>
      <c r="L96" s="493">
        <v>0</v>
      </c>
      <c r="M96" s="493">
        <f t="shared" si="29"/>
        <v>0</v>
      </c>
      <c r="N96" s="493">
        <f t="shared" si="29"/>
        <v>0</v>
      </c>
    </row>
    <row r="97" spans="1:25" s="2259" customFormat="1" ht="36.75">
      <c r="A97" s="2455" t="s">
        <v>2293</v>
      </c>
      <c r="B97" s="2463" t="s">
        <v>2294</v>
      </c>
      <c r="C97" s="2325"/>
      <c r="D97" s="3013">
        <f t="shared" si="30"/>
        <v>0</v>
      </c>
      <c r="E97" s="2461"/>
      <c r="F97" s="2329"/>
      <c r="G97" s="2459"/>
      <c r="H97" s="2460" t="str">
        <f t="shared" si="31"/>
        <v>——</v>
      </c>
      <c r="I97" s="3013">
        <v>0.05</v>
      </c>
      <c r="J97" s="493">
        <f t="shared" si="27"/>
        <v>0</v>
      </c>
      <c r="K97" s="493">
        <f t="shared" si="28"/>
        <v>0</v>
      </c>
      <c r="L97" s="493">
        <v>0</v>
      </c>
      <c r="M97" s="493">
        <f t="shared" si="29"/>
        <v>0</v>
      </c>
      <c r="N97" s="493">
        <f t="shared" si="29"/>
        <v>0</v>
      </c>
    </row>
    <row r="98" spans="1:25" s="2259" customFormat="1" ht="24">
      <c r="A98" s="2455" t="s">
        <v>2295</v>
      </c>
      <c r="B98" s="3013">
        <f>估价对象房地状况!C24</f>
        <v>0</v>
      </c>
      <c r="C98" s="2325"/>
      <c r="D98" s="3013">
        <f t="shared" si="30"/>
        <v>0</v>
      </c>
      <c r="E98" s="2461"/>
      <c r="F98" s="2329"/>
      <c r="G98" s="2459"/>
      <c r="H98" s="2460" t="str">
        <f t="shared" si="31"/>
        <v>——</v>
      </c>
      <c r="I98" s="3013">
        <v>0.05</v>
      </c>
      <c r="J98" s="493">
        <f t="shared" si="27"/>
        <v>0</v>
      </c>
      <c r="K98" s="493">
        <f t="shared" si="28"/>
        <v>0</v>
      </c>
      <c r="L98" s="493">
        <v>0</v>
      </c>
      <c r="M98" s="493">
        <f t="shared" si="29"/>
        <v>0</v>
      </c>
      <c r="N98" s="493">
        <f t="shared" si="29"/>
        <v>0</v>
      </c>
    </row>
    <row r="99" spans="1:25" s="2259" customFormat="1" ht="24">
      <c r="A99" s="2455" t="s">
        <v>2296</v>
      </c>
      <c r="B99" s="2464" t="s">
        <v>2297</v>
      </c>
      <c r="C99" s="2325"/>
      <c r="D99" s="3013">
        <f t="shared" si="30"/>
        <v>0</v>
      </c>
      <c r="E99" s="2461"/>
      <c r="F99" s="2329"/>
      <c r="G99" s="2459"/>
      <c r="H99" s="2460" t="str">
        <f t="shared" si="31"/>
        <v>——</v>
      </c>
      <c r="I99" s="3013">
        <v>0.06</v>
      </c>
      <c r="J99" s="493">
        <f t="shared" si="27"/>
        <v>0</v>
      </c>
      <c r="K99" s="493">
        <f t="shared" si="28"/>
        <v>0</v>
      </c>
      <c r="L99" s="493">
        <v>0</v>
      </c>
      <c r="M99" s="493">
        <f t="shared" si="29"/>
        <v>0</v>
      </c>
      <c r="N99" s="493">
        <f t="shared" si="29"/>
        <v>0</v>
      </c>
    </row>
    <row r="100" spans="1:25" s="2259" customFormat="1" ht="25.5">
      <c r="A100" s="2455" t="s">
        <v>2298</v>
      </c>
      <c r="B100" s="3014" t="str">
        <f>估价对象房地状况!C21</f>
        <v>估价对象所在区域公共配套设施齐备情况</v>
      </c>
      <c r="C100" s="2325"/>
      <c r="D100" s="3013">
        <f t="shared" si="30"/>
        <v>0</v>
      </c>
      <c r="E100" s="2461"/>
      <c r="F100" s="2329"/>
      <c r="G100" s="2459"/>
      <c r="H100" s="2460" t="str">
        <f t="shared" si="31"/>
        <v>——</v>
      </c>
      <c r="I100" s="3013">
        <v>0.06</v>
      </c>
      <c r="J100" s="493">
        <f t="shared" si="27"/>
        <v>0</v>
      </c>
      <c r="K100" s="493">
        <f t="shared" si="28"/>
        <v>0</v>
      </c>
      <c r="L100" s="493">
        <v>0</v>
      </c>
      <c r="M100" s="493">
        <f t="shared" si="29"/>
        <v>0</v>
      </c>
      <c r="N100" s="493">
        <f t="shared" si="29"/>
        <v>0</v>
      </c>
    </row>
    <row r="101" spans="1:25" s="2259" customFormat="1" ht="24">
      <c r="A101" s="2455" t="s">
        <v>2299</v>
      </c>
      <c r="B101" s="3014" t="str">
        <f>估价对象房地状况!C22</f>
        <v>估价对象所在区域基础设施水平</v>
      </c>
      <c r="C101" s="2325"/>
      <c r="D101" s="3013">
        <f t="shared" si="30"/>
        <v>0</v>
      </c>
      <c r="E101" s="2461"/>
      <c r="F101" s="2329"/>
      <c r="G101" s="2459"/>
      <c r="H101" s="2460" t="str">
        <f t="shared" si="31"/>
        <v>——</v>
      </c>
      <c r="I101" s="3013">
        <v>0.09</v>
      </c>
      <c r="J101" s="493">
        <f t="shared" si="27"/>
        <v>0</v>
      </c>
      <c r="K101" s="493">
        <f t="shared" si="28"/>
        <v>0</v>
      </c>
      <c r="L101" s="493">
        <v>0</v>
      </c>
      <c r="M101" s="493">
        <f t="shared" si="29"/>
        <v>0</v>
      </c>
      <c r="N101" s="493">
        <f t="shared" si="29"/>
        <v>0</v>
      </c>
    </row>
    <row r="102" spans="1:25" s="2259" customFormat="1" ht="26.25" thickBot="1">
      <c r="A102" s="2466" t="s">
        <v>2300</v>
      </c>
      <c r="B102" s="2468" t="str">
        <f>估价对象房地状况!C20</f>
        <v>区域自然环境：；人文环境；综合评价环境状况一般</v>
      </c>
      <c r="C102" s="2325"/>
      <c r="D102" s="3013">
        <f t="shared" si="30"/>
        <v>0</v>
      </c>
      <c r="E102" s="487"/>
      <c r="F102" s="2329"/>
      <c r="G102" s="2459"/>
      <c r="H102" s="2460" t="str">
        <f t="shared" si="31"/>
        <v>——</v>
      </c>
      <c r="I102" s="2468">
        <v>7.0000000000000007E-2</v>
      </c>
      <c r="J102" s="493">
        <f t="shared" si="27"/>
        <v>0</v>
      </c>
      <c r="K102" s="493">
        <f t="shared" si="28"/>
        <v>0</v>
      </c>
      <c r="L102" s="493">
        <v>0</v>
      </c>
      <c r="M102" s="493">
        <f t="shared" si="29"/>
        <v>0</v>
      </c>
      <c r="N102" s="493">
        <f t="shared" si="29"/>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306" t="s">
        <v>2311</v>
      </c>
      <c r="B104" s="3306"/>
      <c r="C104" s="3306"/>
      <c r="D104" s="3306"/>
      <c r="E104" s="3306"/>
      <c r="F104" s="3306"/>
      <c r="G104" s="3306"/>
      <c r="H104" s="3306"/>
      <c r="I104" s="3306"/>
      <c r="J104" s="3306"/>
      <c r="K104" s="3018"/>
      <c r="L104" s="3018"/>
      <c r="M104" s="3018"/>
      <c r="N104" s="3018"/>
    </row>
    <row r="105" spans="1:25">
      <c r="A105" s="3307" t="s">
        <v>2312</v>
      </c>
      <c r="B105" s="3307" t="s">
        <v>2313</v>
      </c>
      <c r="C105" s="2422" t="s">
        <v>2314</v>
      </c>
      <c r="D105" s="2423"/>
      <c r="E105" s="2423"/>
      <c r="F105" s="2423"/>
      <c r="G105" s="2423"/>
      <c r="H105" s="2423"/>
      <c r="I105" s="2423"/>
      <c r="J105" s="2480"/>
      <c r="K105" s="2481"/>
      <c r="L105" s="2481"/>
      <c r="M105" s="2481"/>
      <c r="N105" s="2481"/>
    </row>
    <row r="106" spans="1:25">
      <c r="A106" s="3307"/>
      <c r="B106" s="3307"/>
      <c r="C106" s="3019" t="s">
        <v>2199</v>
      </c>
      <c r="D106" s="3019" t="s">
        <v>2200</v>
      </c>
      <c r="E106" s="3019" t="s">
        <v>2201</v>
      </c>
      <c r="F106" s="3019" t="s">
        <v>2202</v>
      </c>
      <c r="G106" s="3019" t="s">
        <v>2203</v>
      </c>
      <c r="H106" s="3019" t="s">
        <v>2204</v>
      </c>
      <c r="I106" s="3019" t="s">
        <v>2205</v>
      </c>
      <c r="J106" s="3019" t="s">
        <v>2206</v>
      </c>
      <c r="K106" s="3019" t="s">
        <v>2207</v>
      </c>
      <c r="L106" s="3019" t="s">
        <v>2208</v>
      </c>
      <c r="M106" s="3019" t="s">
        <v>2209</v>
      </c>
      <c r="N106" s="3019" t="s">
        <v>2210</v>
      </c>
    </row>
    <row r="107" spans="1:25">
      <c r="A107" s="3308" t="s">
        <v>2315</v>
      </c>
      <c r="B107" s="3019">
        <v>1</v>
      </c>
      <c r="C107" s="3019">
        <v>1.5206</v>
      </c>
      <c r="D107" s="3019">
        <v>1.5206</v>
      </c>
      <c r="E107" s="3019">
        <v>1.5019</v>
      </c>
      <c r="F107" s="3019">
        <v>1.5019</v>
      </c>
      <c r="G107" s="3019">
        <v>1.5019</v>
      </c>
      <c r="H107" s="3019">
        <v>1.5019</v>
      </c>
      <c r="I107" s="3019">
        <v>1.5019</v>
      </c>
      <c r="J107" s="3019">
        <v>1.5418000000000001</v>
      </c>
      <c r="K107" s="3019">
        <v>1.5418000000000001</v>
      </c>
      <c r="L107" s="3019">
        <v>1.5418000000000001</v>
      </c>
      <c r="M107" s="3019">
        <v>1.5418000000000001</v>
      </c>
      <c r="N107" s="3019">
        <v>1.5418000000000001</v>
      </c>
    </row>
    <row r="108" spans="1:25">
      <c r="A108" s="3309"/>
      <c r="B108" s="3019">
        <v>2</v>
      </c>
      <c r="C108" s="3019">
        <v>1.2072000000000001</v>
      </c>
      <c r="D108" s="3019">
        <v>1.2072000000000001</v>
      </c>
      <c r="E108" s="3019">
        <v>1.1838</v>
      </c>
      <c r="F108" s="3019">
        <v>1.1838</v>
      </c>
      <c r="G108" s="3019">
        <v>1.1838</v>
      </c>
      <c r="H108" s="3019">
        <v>1.1838</v>
      </c>
      <c r="I108" s="3019">
        <v>1.1838</v>
      </c>
      <c r="J108" s="3019">
        <v>1.1883999999999999</v>
      </c>
      <c r="K108" s="3019">
        <v>1.1883999999999999</v>
      </c>
      <c r="L108" s="3019">
        <v>1.1883999999999999</v>
      </c>
      <c r="M108" s="3019">
        <v>1.1883999999999999</v>
      </c>
      <c r="N108" s="3019">
        <v>1.1883999999999999</v>
      </c>
    </row>
    <row r="109" spans="1:25">
      <c r="A109" s="3309"/>
      <c r="B109" s="3019">
        <v>3</v>
      </c>
      <c r="C109" s="3019">
        <v>1.0430999999999999</v>
      </c>
      <c r="D109" s="3019">
        <v>1.0430999999999999</v>
      </c>
      <c r="E109" s="3019">
        <v>1.0004999999999999</v>
      </c>
      <c r="F109" s="3019">
        <v>1.0004999999999999</v>
      </c>
      <c r="G109" s="3019">
        <v>1.0004999999999999</v>
      </c>
      <c r="H109" s="3019">
        <v>1.0004999999999999</v>
      </c>
      <c r="I109" s="3019">
        <v>1.0004999999999999</v>
      </c>
      <c r="J109" s="3019">
        <v>0.96940000000000004</v>
      </c>
      <c r="K109" s="3019">
        <v>0.96940000000000004</v>
      </c>
      <c r="L109" s="3019">
        <v>0.96940000000000004</v>
      </c>
      <c r="M109" s="3019">
        <v>0.96940000000000004</v>
      </c>
      <c r="N109" s="3019">
        <v>0.96940000000000004</v>
      </c>
    </row>
    <row r="110" spans="1:25">
      <c r="A110" s="3309"/>
      <c r="B110" s="3019">
        <v>4</v>
      </c>
      <c r="C110" s="3019">
        <v>0.94389999999999996</v>
      </c>
      <c r="D110" s="3019">
        <v>0.94389999999999996</v>
      </c>
      <c r="E110" s="3019">
        <v>0.88239999999999996</v>
      </c>
      <c r="F110" s="3019">
        <v>0.88239999999999996</v>
      </c>
      <c r="G110" s="3019">
        <v>0.88239999999999996</v>
      </c>
      <c r="H110" s="3019">
        <v>0.88239999999999996</v>
      </c>
      <c r="I110" s="3019">
        <v>0.88239999999999996</v>
      </c>
      <c r="J110" s="3019">
        <v>0.82299999999999995</v>
      </c>
      <c r="K110" s="3019">
        <v>0.82299999999999995</v>
      </c>
      <c r="L110" s="3019">
        <v>0.82299999999999995</v>
      </c>
      <c r="M110" s="3019">
        <v>0.82299999999999995</v>
      </c>
      <c r="N110" s="3019">
        <v>0.82299999999999995</v>
      </c>
    </row>
    <row r="111" spans="1:25">
      <c r="A111" s="3309"/>
      <c r="B111" s="3019">
        <v>5</v>
      </c>
      <c r="C111" s="3019">
        <v>0.89959999999999996</v>
      </c>
      <c r="D111" s="3019">
        <v>0.89959999999999996</v>
      </c>
      <c r="E111" s="3019">
        <v>0.84799999999999998</v>
      </c>
      <c r="F111" s="3019">
        <v>0.84799999999999998</v>
      </c>
      <c r="G111" s="3019">
        <v>0.84799999999999998</v>
      </c>
      <c r="H111" s="3019">
        <v>0.84799999999999998</v>
      </c>
      <c r="I111" s="3019">
        <v>0.84799999999999998</v>
      </c>
      <c r="J111" s="3019">
        <v>0.74980000000000002</v>
      </c>
      <c r="K111" s="3019">
        <v>0.74980000000000002</v>
      </c>
      <c r="L111" s="3019">
        <v>0.74980000000000002</v>
      </c>
      <c r="M111" s="3019">
        <v>0.74980000000000002</v>
      </c>
      <c r="N111" s="3019">
        <v>0.74980000000000002</v>
      </c>
    </row>
    <row r="112" spans="1:25">
      <c r="A112" s="3309"/>
      <c r="B112" s="3019" t="s">
        <v>2716</v>
      </c>
      <c r="C112" s="2482">
        <f>$I$3</f>
        <v>1</v>
      </c>
      <c r="D112" s="2482">
        <f t="shared" ref="D112:M112" si="32">$I$3</f>
        <v>1</v>
      </c>
      <c r="E112" s="2482">
        <f t="shared" si="32"/>
        <v>1</v>
      </c>
      <c r="F112" s="2482">
        <f t="shared" si="32"/>
        <v>1</v>
      </c>
      <c r="G112" s="2482">
        <f t="shared" si="32"/>
        <v>1</v>
      </c>
      <c r="H112" s="2482">
        <f t="shared" si="32"/>
        <v>1</v>
      </c>
      <c r="I112" s="2482">
        <f t="shared" si="32"/>
        <v>1</v>
      </c>
      <c r="J112" s="2482">
        <f t="shared" si="32"/>
        <v>1</v>
      </c>
      <c r="K112" s="2482">
        <f t="shared" si="32"/>
        <v>1</v>
      </c>
      <c r="L112" s="2482">
        <f t="shared" si="32"/>
        <v>1</v>
      </c>
      <c r="M112" s="2482">
        <f t="shared" si="32"/>
        <v>1</v>
      </c>
      <c r="N112" s="2482">
        <f>$I$3</f>
        <v>1</v>
      </c>
    </row>
    <row r="113" spans="1:14">
      <c r="A113" s="3310"/>
      <c r="B113" s="3019">
        <v>6</v>
      </c>
      <c r="C113" s="502">
        <f>(-0.5556*(C112^2)-0.2719*C112+8944)*(10^(-4))</f>
        <v>0.89431725000000006</v>
      </c>
      <c r="D113" s="502">
        <f>(-0.5556*(D112^2)-0.2719*D112+8944)*(10^(-4))</f>
        <v>0.89431725000000006</v>
      </c>
      <c r="E113" s="502">
        <f>(-0.7912*(E112^2)-11.3794*E112+8482)*(10^(-4))</f>
        <v>0.84698294000000007</v>
      </c>
      <c r="F113" s="502">
        <f t="shared" ref="F113:I113" si="33">(-0.7912*(F112^2)-11.3794*F112+8482)*(10^(-4))</f>
        <v>0.84698294000000007</v>
      </c>
      <c r="G113" s="502">
        <f t="shared" si="33"/>
        <v>0.84698294000000007</v>
      </c>
      <c r="H113" s="502">
        <f t="shared" si="33"/>
        <v>0.84698294000000007</v>
      </c>
      <c r="I113" s="502">
        <f t="shared" si="33"/>
        <v>0.84698294000000007</v>
      </c>
      <c r="J113" s="502">
        <f>(-0.989*(J112^2)-63.78*J112+7771)*(10^(-4))</f>
        <v>0.77062310000000001</v>
      </c>
      <c r="K113" s="502">
        <f t="shared" ref="K113:N113" si="34">(-0.989*(K112^2)-63.78*K112+7771)*(10^(-4))</f>
        <v>0.77062310000000001</v>
      </c>
      <c r="L113" s="502">
        <f t="shared" si="34"/>
        <v>0.77062310000000001</v>
      </c>
      <c r="M113" s="502">
        <f t="shared" si="34"/>
        <v>0.77062310000000001</v>
      </c>
      <c r="N113" s="502">
        <f t="shared" si="34"/>
        <v>0.77062310000000001</v>
      </c>
    </row>
    <row r="114" spans="1:14">
      <c r="A114" s="3311" t="s">
        <v>2316</v>
      </c>
      <c r="B114" s="3311"/>
      <c r="C114" s="3311"/>
      <c r="D114" s="3311"/>
      <c r="E114" s="3311"/>
      <c r="F114" s="3311"/>
      <c r="G114" s="3311"/>
      <c r="H114" s="3311"/>
      <c r="I114" s="3311"/>
      <c r="J114" s="3311"/>
      <c r="K114" s="3020"/>
      <c r="L114" s="3020"/>
      <c r="M114" s="3020"/>
      <c r="N114" s="3020"/>
    </row>
    <row r="116" spans="1:14" ht="13.5" thickBot="1"/>
    <row r="117" spans="1:14" ht="25.5" thickBot="1">
      <c r="A117" s="2382" t="s">
        <v>2317</v>
      </c>
      <c r="B117" s="2484">
        <f>G3</f>
        <v>1.6</v>
      </c>
      <c r="C117" s="2365" t="s">
        <v>2318</v>
      </c>
      <c r="D117" s="500">
        <f>SUMPRODUCT((A119:A123=F117)*(B118:M118=H117)*B119:M123)</f>
        <v>0.91379999999999995</v>
      </c>
      <c r="E117" s="473" t="s">
        <v>2173</v>
      </c>
      <c r="F117" s="501" t="str">
        <f>E2</f>
        <v>住宅</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0.97919999999999996</v>
      </c>
      <c r="C119" s="502">
        <f>B119</f>
        <v>0.97919999999999996</v>
      </c>
      <c r="D119" s="502">
        <f>ROUND(0.949-0.014*B117,4)</f>
        <v>0.92659999999999998</v>
      </c>
      <c r="E119" s="502">
        <f>D119</f>
        <v>0.92659999999999998</v>
      </c>
      <c r="F119" s="502">
        <f>E119</f>
        <v>0.92659999999999998</v>
      </c>
      <c r="G119" s="502">
        <f>F119</f>
        <v>0.92659999999999998</v>
      </c>
      <c r="H119" s="502">
        <f>G119</f>
        <v>0.92659999999999998</v>
      </c>
      <c r="I119" s="502">
        <f>ROUND(0.8486-0.018*B117,4)</f>
        <v>0.81979999999999997</v>
      </c>
      <c r="J119" s="502">
        <f t="shared" ref="J119:M123" si="35">I119</f>
        <v>0.81979999999999997</v>
      </c>
      <c r="K119" s="502">
        <f t="shared" si="35"/>
        <v>0.81979999999999997</v>
      </c>
      <c r="L119" s="502">
        <f t="shared" si="35"/>
        <v>0.81979999999999997</v>
      </c>
      <c r="M119" s="504">
        <f t="shared" si="35"/>
        <v>0.81979999999999997</v>
      </c>
    </row>
    <row r="120" spans="1:14">
      <c r="A120" s="2413" t="s">
        <v>2230</v>
      </c>
      <c r="B120" s="502">
        <f>ROUND(0.993-0.0112*B117,4)</f>
        <v>0.97509999999999997</v>
      </c>
      <c r="C120" s="502">
        <f>B120</f>
        <v>0.97509999999999997</v>
      </c>
      <c r="D120" s="502">
        <f>ROUND(0.9415-0.0142*B117,4)</f>
        <v>0.91879999999999995</v>
      </c>
      <c r="E120" s="502">
        <f t="shared" ref="E120:H121" si="36">D120</f>
        <v>0.91879999999999995</v>
      </c>
      <c r="F120" s="502">
        <f t="shared" si="36"/>
        <v>0.91879999999999995</v>
      </c>
      <c r="G120" s="502">
        <f t="shared" si="36"/>
        <v>0.91879999999999995</v>
      </c>
      <c r="H120" s="502">
        <f t="shared" si="36"/>
        <v>0.91879999999999995</v>
      </c>
      <c r="I120" s="502">
        <f>ROUND(0.838-0.0182*B117,4)</f>
        <v>0.80889999999999995</v>
      </c>
      <c r="J120" s="502">
        <f t="shared" si="35"/>
        <v>0.80889999999999995</v>
      </c>
      <c r="K120" s="502">
        <f t="shared" si="35"/>
        <v>0.80889999999999995</v>
      </c>
      <c r="L120" s="502">
        <f t="shared" si="35"/>
        <v>0.80889999999999995</v>
      </c>
      <c r="M120" s="504">
        <f t="shared" si="35"/>
        <v>0.80889999999999995</v>
      </c>
    </row>
    <row r="121" spans="1:14">
      <c r="A121" s="2413" t="s">
        <v>2231</v>
      </c>
      <c r="B121" s="502">
        <f>ROUND(0.9448-0.0115*B117,4)</f>
        <v>0.9264</v>
      </c>
      <c r="C121" s="502">
        <f>B121</f>
        <v>0.9264</v>
      </c>
      <c r="D121" s="502">
        <f>ROUND(0.937-0.0145*B117,4)</f>
        <v>0.91379999999999995</v>
      </c>
      <c r="E121" s="502">
        <f t="shared" si="36"/>
        <v>0.91379999999999995</v>
      </c>
      <c r="F121" s="502">
        <f t="shared" si="36"/>
        <v>0.91379999999999995</v>
      </c>
      <c r="G121" s="502">
        <f t="shared" si="36"/>
        <v>0.91379999999999995</v>
      </c>
      <c r="H121" s="502">
        <f t="shared" si="36"/>
        <v>0.91379999999999995</v>
      </c>
      <c r="I121" s="502">
        <f>ROUND(0.7965-0.0185*B117,4)</f>
        <v>0.76690000000000003</v>
      </c>
      <c r="J121" s="502">
        <f t="shared" si="35"/>
        <v>0.76690000000000003</v>
      </c>
      <c r="K121" s="502">
        <f t="shared" si="35"/>
        <v>0.76690000000000003</v>
      </c>
      <c r="L121" s="502">
        <f t="shared" si="35"/>
        <v>0.76690000000000003</v>
      </c>
      <c r="M121" s="504">
        <f t="shared" si="35"/>
        <v>0.76690000000000003</v>
      </c>
    </row>
    <row r="122" spans="1:14" ht="13.5" thickBot="1">
      <c r="A122" s="2417" t="s">
        <v>2232</v>
      </c>
      <c r="B122" s="503">
        <f>ROUND(0.7836-0.012*B117,4)</f>
        <v>0.76439999999999997</v>
      </c>
      <c r="C122" s="503">
        <f>B122</f>
        <v>0.76439999999999997</v>
      </c>
      <c r="D122" s="503">
        <f>ROUND(0.753-0.015*B117,4)</f>
        <v>0.72899999999999998</v>
      </c>
      <c r="E122" s="503">
        <f>D122</f>
        <v>0.72899999999999998</v>
      </c>
      <c r="F122" s="503">
        <f>E122</f>
        <v>0.72899999999999998</v>
      </c>
      <c r="G122" s="503">
        <f>ROUND(0.6612-0.018*B117,4)</f>
        <v>0.63239999999999996</v>
      </c>
      <c r="H122" s="503">
        <f>G122</f>
        <v>0.63239999999999996</v>
      </c>
      <c r="I122" s="503">
        <f>ROUND(0.5905-0.019*B117,4)</f>
        <v>0.56010000000000004</v>
      </c>
      <c r="J122" s="503">
        <f t="shared" si="35"/>
        <v>0.56010000000000004</v>
      </c>
      <c r="K122" s="503">
        <f t="shared" si="35"/>
        <v>0.56010000000000004</v>
      </c>
      <c r="L122" s="503">
        <f t="shared" si="35"/>
        <v>0.56010000000000004</v>
      </c>
      <c r="M122" s="505">
        <f t="shared" si="35"/>
        <v>0.56010000000000004</v>
      </c>
    </row>
    <row r="123" spans="1:14">
      <c r="A123" s="2492" t="s">
        <v>2702</v>
      </c>
      <c r="B123" s="502">
        <f>ROUND(0.9404-0.0106*B117,4)</f>
        <v>0.9234</v>
      </c>
      <c r="C123" s="502">
        <f>B123</f>
        <v>0.9234</v>
      </c>
      <c r="D123" s="502">
        <f>ROUND(0.8955-0.0135*B117,4)</f>
        <v>0.87390000000000001</v>
      </c>
      <c r="E123" s="502">
        <f t="shared" ref="E123:H123" si="37">D123</f>
        <v>0.87390000000000001</v>
      </c>
      <c r="F123" s="502">
        <f t="shared" si="37"/>
        <v>0.87390000000000001</v>
      </c>
      <c r="G123" s="502">
        <f t="shared" si="37"/>
        <v>0.87390000000000001</v>
      </c>
      <c r="H123" s="502">
        <f t="shared" si="37"/>
        <v>0.87390000000000001</v>
      </c>
      <c r="I123" s="502">
        <f>ROUND(0.7632-0.0166*B117,4)</f>
        <v>0.73660000000000003</v>
      </c>
      <c r="J123" s="502">
        <f t="shared" si="35"/>
        <v>0.73660000000000003</v>
      </c>
      <c r="K123" s="502">
        <f t="shared" si="35"/>
        <v>0.73660000000000003</v>
      </c>
      <c r="L123" s="502">
        <f t="shared" si="35"/>
        <v>0.73660000000000003</v>
      </c>
      <c r="M123" s="504">
        <f t="shared" si="35"/>
        <v>0.73660000000000003</v>
      </c>
    </row>
    <row r="124" spans="1:14">
      <c r="A124" s="2473"/>
      <c r="B124" s="2473"/>
      <c r="C124" s="2473"/>
      <c r="D124" s="2473"/>
      <c r="E124" s="2473"/>
      <c r="F124" s="2473"/>
      <c r="G124" s="2473"/>
      <c r="H124" s="2473"/>
      <c r="I124" s="2473"/>
      <c r="J124" s="2473"/>
      <c r="K124" s="2426"/>
      <c r="L124" s="2473"/>
      <c r="M124" s="2473"/>
    </row>
  </sheetData>
  <sheetProtection formatCells="0" formatColumns="0" formatRows="0"/>
  <dataConsolidate/>
  <mergeCells count="12">
    <mergeCell ref="A104:J104"/>
    <mergeCell ref="A105:A106"/>
    <mergeCell ref="B105:B106"/>
    <mergeCell ref="A107:A113"/>
    <mergeCell ref="A114:J114"/>
    <mergeCell ref="A4:J4"/>
    <mergeCell ref="W8:X8"/>
    <mergeCell ref="W9:W10"/>
    <mergeCell ref="D20:E20"/>
    <mergeCell ref="F20:G20"/>
    <mergeCell ref="A37:A39"/>
    <mergeCell ref="J37:J39"/>
  </mergeCells>
  <phoneticPr fontId="134" type="noConversion"/>
  <conditionalFormatting sqref="F51">
    <cfRule type="cellIs" dxfId="6" priority="7" stopIfTrue="1" operator="notEqual">
      <formula>"——"</formula>
    </cfRule>
  </conditionalFormatting>
  <conditionalFormatting sqref="F62">
    <cfRule type="cellIs" dxfId="5" priority="6" stopIfTrue="1" operator="notEqual">
      <formula>"——"</formula>
    </cfRule>
  </conditionalFormatting>
  <conditionalFormatting sqref="F73">
    <cfRule type="cellIs" dxfId="4" priority="5" stopIfTrue="1" operator="notEqual">
      <formula>"——"</formula>
    </cfRule>
  </conditionalFormatting>
  <conditionalFormatting sqref="F84">
    <cfRule type="cellIs" dxfId="3" priority="4" stopIfTrue="1" operator="notEqual">
      <formula>"——"</formula>
    </cfRule>
  </conditionalFormatting>
  <conditionalFormatting sqref="H51:H59 H62:H70 H73:H81 H84:H91">
    <cfRule type="cellIs" dxfId="2" priority="3" operator="notEqual">
      <formula>"——"</formula>
    </cfRule>
  </conditionalFormatting>
  <conditionalFormatting sqref="F94">
    <cfRule type="cellIs" dxfId="1" priority="2" stopIfTrue="1" operator="notEqual">
      <formula>"——"</formula>
    </cfRule>
  </conditionalFormatting>
  <conditionalFormatting sqref="H94:H103">
    <cfRule type="cellIs" dxfId="0" priority="1" operator="notEqual">
      <formula>"——"</formula>
    </cfRule>
  </conditionalFormatting>
  <dataValidations count="12">
    <dataValidation type="list" allowBlank="1" showInputMessage="1" showErrorMessage="1" sqref="J23" xr:uid="{C885B711-67ED-4A92-BBF2-17716310B0B8}">
      <formula1>"不用分区数据,中心城区,中心城区以外"</formula1>
    </dataValidation>
    <dataValidation type="list" allowBlank="1" showInputMessage="1" showErrorMessage="1" sqref="H20:O20" xr:uid="{C82416F6-29CB-462A-A521-820CF9A9F861}">
      <formula1>七通一平</formula1>
    </dataValidation>
    <dataValidation type="list" allowBlank="1" showInputMessage="1" showErrorMessage="1" sqref="H23" xr:uid="{C9BCB9E9-02C3-45E3-B4DA-539DE469FE5C}">
      <formula1>"地价指数,季度增幅（自定义）,按公示增长率计算"</formula1>
    </dataValidation>
    <dataValidation type="list" allowBlank="1" showInputMessage="1" showErrorMessage="1" sqref="C84:C91 C73:C81 C51:C59 C62:C70 C94:C103" xr:uid="{A06E6C20-8FC6-4F29-A576-9A1D2ED34F6E}">
      <formula1>五等判定</formula1>
    </dataValidation>
    <dataValidation type="list" allowBlank="1" showInputMessage="1" showErrorMessage="1" sqref="E3" xr:uid="{55E9769D-EAD8-46A3-9A99-F5B56971FB37}">
      <formula1>二级分类</formula1>
    </dataValidation>
    <dataValidation type="list" allowBlank="1" showInputMessage="1" showErrorMessage="1" sqref="C8" xr:uid="{D9D10659-ABA4-4B22-AF6D-87BD9B14D55B}">
      <formula1>商业街名称</formula1>
    </dataValidation>
    <dataValidation type="list" allowBlank="1" showInputMessage="1" showErrorMessage="1" sqref="F3" xr:uid="{5CCA7649-B740-47EA-9EEA-447C110D9F3E}">
      <formula1>"宗地容积率,估价对象容积率,自定义容积率"</formula1>
    </dataValidation>
    <dataValidation type="list" allowBlank="1" showInputMessage="1" showErrorMessage="1" sqref="E2" xr:uid="{D7FAB2FF-8A86-49F1-AED7-0720E11970C2}">
      <formula1>"商业,办公,住宅,工业,公共服务"</formula1>
    </dataValidation>
    <dataValidation type="list" allowBlank="1" showInputMessage="1" showErrorMessage="1" sqref="F21" xr:uid="{4A2E24FF-1B87-4642-881D-7A1C48F708D4}">
      <formula1>"与级别开发程度一致,与级别开发程度不一致"</formula1>
    </dataValidation>
    <dataValidation type="list" allowBlank="1" showInputMessage="1" showErrorMessage="1" sqref="B25" xr:uid="{0B6C0CEA-6F66-495C-931E-E2DC22FC80AE}">
      <formula1>"容积率修正,楼层修正"</formula1>
    </dataValidation>
    <dataValidation type="list" allowBlank="1" showInputMessage="1" showErrorMessage="1" sqref="C15:D15" xr:uid="{C4AE8670-EB60-4330-AD76-36D952FCF6F4}">
      <formula1>"有,无"</formula1>
    </dataValidation>
    <dataValidation type="list" allowBlank="1" showInputMessage="1" showErrorMessage="1" sqref="E15" xr:uid="{52C42BFC-61AC-41A5-A617-A647D77CC07B}">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552B-A88B-4590-9D73-C69DF70A565A}">
  <sheetPr>
    <tabColor rgb="FF92D050"/>
  </sheetPr>
  <dimension ref="A1:AJ124"/>
  <sheetViews>
    <sheetView view="pageBreakPreview" topLeftCell="B7" zoomScale="90" zoomScaleNormal="80" zoomScaleSheetLayoutView="90" workbookViewId="0">
      <selection activeCell="I24" sqref="I2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2189</v>
      </c>
      <c r="C2" s="2266" t="s">
        <v>2172</v>
      </c>
      <c r="D2" s="473" t="s">
        <v>2173</v>
      </c>
      <c r="E2" s="2267" t="s">
        <v>3</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Ⅵ-空港B</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3649</v>
      </c>
      <c r="U2" s="2269">
        <v>10000</v>
      </c>
      <c r="V2" s="477">
        <f>ROUND(T2*U2/10000,0)</f>
        <v>3649</v>
      </c>
      <c r="W2" s="2262"/>
      <c r="X2" s="2262"/>
      <c r="Y2" s="2262"/>
      <c r="Z2" s="2262"/>
      <c r="AA2" s="2262"/>
      <c r="AB2" s="2262"/>
      <c r="AC2" s="2262"/>
      <c r="AD2" s="2263"/>
      <c r="AE2" s="2263"/>
      <c r="AF2" s="2263"/>
      <c r="AG2" s="2263"/>
      <c r="AH2" s="2263"/>
      <c r="AI2" s="2263"/>
      <c r="AJ2" s="2264"/>
    </row>
    <row r="3" spans="1:36" ht="15.75">
      <c r="A3" s="2265" t="s">
        <v>2177</v>
      </c>
      <c r="B3" s="2265">
        <f>ROUND(B2*10000/D1,0)</f>
        <v>2189</v>
      </c>
      <c r="C3" s="2266" t="s">
        <v>2178</v>
      </c>
      <c r="D3" s="473" t="s">
        <v>2179</v>
      </c>
      <c r="E3" s="2267" t="s">
        <v>2866</v>
      </c>
      <c r="F3" s="2270" t="s">
        <v>3100</v>
      </c>
      <c r="G3" s="2271">
        <f>'数据-汇总表'!I3</f>
        <v>1.6</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2876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98"/>
      <c r="B4" s="3299"/>
      <c r="C4" s="3299"/>
      <c r="D4" s="3300"/>
      <c r="E4" s="3300"/>
      <c r="F4" s="3300"/>
      <c r="G4" s="3300"/>
      <c r="H4" s="3300"/>
      <c r="I4" s="3300"/>
      <c r="J4" s="330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2431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2340</v>
      </c>
      <c r="D5" s="2274">
        <f>ROUND(C6*C17+C20,0)</f>
        <v>2340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2144</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2340</v>
      </c>
      <c r="D6" s="2285" t="s">
        <v>2188</v>
      </c>
      <c r="E6" s="2284"/>
      <c r="F6" s="2284"/>
      <c r="G6" s="2286"/>
      <c r="H6" s="2286"/>
      <c r="I6" s="2286"/>
      <c r="J6" s="2287"/>
      <c r="K6" s="1414"/>
      <c r="L6" s="2268" t="s">
        <v>2189</v>
      </c>
      <c r="M6" s="475">
        <f>SUMPRODUCT((区片价!B127:B189=I2)*(区片价!C3:G3=E2)*(区片价!C127:G189))</f>
        <v>2340</v>
      </c>
      <c r="N6" s="473">
        <f>SUMPRODUCT((因素修正幅度!B127:B189=I2)*(因素修正幅度!C3:G3=E2)*(因素修正幅度!C127:G189))</f>
        <v>0.05</v>
      </c>
      <c r="O6" s="2259"/>
      <c r="P6" s="2259"/>
      <c r="Q6" s="2259"/>
      <c r="R6" s="477">
        <v>5</v>
      </c>
      <c r="S6" s="477">
        <f>ROUND(SUMPRODUCT((B107:B111=R6)*(C106:N106=G2)*(C107:N111)),4)</f>
        <v>0.84799999999999998</v>
      </c>
      <c r="T6" s="477">
        <f t="shared" si="0"/>
        <v>2060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2991"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996" t="s">
        <v>2193</v>
      </c>
      <c r="X7" s="498" t="str">
        <f>G2</f>
        <v>六级</v>
      </c>
      <c r="Y7" s="498" t="s">
        <v>2194</v>
      </c>
      <c r="Z7" s="498">
        <f>G3</f>
        <v>1.6</v>
      </c>
      <c r="AA7" s="2262"/>
      <c r="AB7" s="2262"/>
      <c r="AC7" s="2262"/>
      <c r="AD7" s="2263"/>
      <c r="AE7" s="2263"/>
      <c r="AF7" s="2263"/>
      <c r="AG7" s="2263"/>
      <c r="AH7" s="2263"/>
      <c r="AI7" s="2263"/>
      <c r="AJ7" s="2264"/>
    </row>
    <row r="8" spans="1:36" ht="25.5">
      <c r="A8" s="2294"/>
      <c r="B8" s="473" t="s">
        <v>2195</v>
      </c>
      <c r="C8" s="2267" t="s">
        <v>3101</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302" t="s">
        <v>2198</v>
      </c>
      <c r="X8" s="330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30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30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2993" t="s">
        <v>2223</v>
      </c>
      <c r="C14" s="2321" t="s">
        <v>2224</v>
      </c>
      <c r="D14" s="2994"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4"/>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91" t="s">
        <v>2233</v>
      </c>
      <c r="C20" s="2991">
        <f>ROUND(IF(F21="与级别开发程度一致",0,(G21-E21)/C21),0)</f>
        <v>0</v>
      </c>
      <c r="D20" s="3304" t="s">
        <v>2237</v>
      </c>
      <c r="E20" s="3305"/>
      <c r="F20" s="3304" t="s">
        <v>2234</v>
      </c>
      <c r="G20" s="3305"/>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1.2</v>
      </c>
      <c r="D21" s="497" t="str">
        <f>IF(OR(G2="八级",G2="九级",G2="十级",G2="十一级",G2="十二级"),"五通一平","七通一平")</f>
        <v>七通一平</v>
      </c>
      <c r="E21" s="484">
        <f>SUMPRODUCT((修正!B1:M1=G2)*(修正!B17:M17))</f>
        <v>315</v>
      </c>
      <c r="F21" s="2351" t="s">
        <v>3102</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44826</v>
      </c>
      <c r="H23" s="2361" t="s">
        <v>3103</v>
      </c>
      <c r="I23" s="2360" t="str">
        <f>IF(H23="季度增幅（自定义）",SUMIF(N25:N28,E2,O25:O28),"")</f>
        <v/>
      </c>
      <c r="J23" s="2982" t="s">
        <v>3091</v>
      </c>
      <c r="K23" s="2346"/>
      <c r="L23" s="2362"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f>项目基本情况!I15</f>
        <v>50</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0.9012</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0.9012</v>
      </c>
      <c r="E26" s="493">
        <f>ROUNDDOWN(G3,1)</f>
        <v>1.6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493">
        <f>ROUNDUP(G3,1)</f>
        <v>1.6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2189</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2189</v>
      </c>
      <c r="D33" s="2420">
        <v>10000</v>
      </c>
      <c r="E33" s="2999">
        <f>ROUND(C33*D33/10000,0)</f>
        <v>2189</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5" customHeight="1" thickBot="1">
      <c r="A34" s="2349"/>
      <c r="B34" s="485" t="s">
        <v>2270</v>
      </c>
      <c r="C34" s="497">
        <f>ROUND(IF(E2="工业",C33*M42,IF(B25="楼层修正",SUM(V2:V16)*M41*10000/D34,C33*M41)),0)</f>
        <v>328</v>
      </c>
      <c r="D34" s="2427"/>
      <c r="E34" s="2999">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95"/>
      <c r="B37" s="2439" t="s">
        <v>2275</v>
      </c>
      <c r="C37" s="495">
        <f>ROUND(D5*C22*C23*C24*C28*F37,0)</f>
        <v>1458</v>
      </c>
      <c r="D37" s="2420"/>
      <c r="E37" s="473">
        <f>ROUND(C37*D37/10000,0)</f>
        <v>0</v>
      </c>
      <c r="F37" s="473">
        <f>SUMIF(修正!A57:A68,G2,修正!B57:B68)</f>
        <v>0.6</v>
      </c>
      <c r="G37" s="473">
        <f>ROUND(IF(E2="工业",C37*$M$42,C37*$M$41),0)</f>
        <v>219</v>
      </c>
      <c r="H37" s="473">
        <f>D37</f>
        <v>0</v>
      </c>
      <c r="I37" s="473">
        <f>ROUND(G37*H37/10000,0)</f>
        <v>0</v>
      </c>
      <c r="J37" s="329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96"/>
      <c r="B38" s="2321" t="s">
        <v>2276</v>
      </c>
      <c r="C38" s="495">
        <f>ROUND(D5*C22*C23*C24*C28*F38,0)</f>
        <v>729</v>
      </c>
      <c r="D38" s="2420"/>
      <c r="E38" s="473">
        <f t="shared" ref="E38:E42" si="4">ROUND(C38*D38/10000,0)</f>
        <v>0</v>
      </c>
      <c r="F38" s="473">
        <f>SUMIF(修正!A57:A68,G2,修正!C57:C68)</f>
        <v>0.3</v>
      </c>
      <c r="G38" s="473">
        <f>ROUND(IF(E2="工业",C38*$M$42,C38*$M$41),0)</f>
        <v>109</v>
      </c>
      <c r="H38" s="473">
        <f t="shared" ref="H38:H42" si="5">D38</f>
        <v>0</v>
      </c>
      <c r="I38" s="473">
        <f t="shared" ref="I38:I42" si="6">ROUND(G38*H38/10000,0)</f>
        <v>0</v>
      </c>
      <c r="J38" s="329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96"/>
      <c r="B39" s="2321" t="s">
        <v>2940</v>
      </c>
      <c r="C39" s="495">
        <f>ROUND(D5*C22*C23*C24*C28*F39,0)</f>
        <v>607</v>
      </c>
      <c r="D39" s="2420"/>
      <c r="E39" s="473">
        <f t="shared" si="4"/>
        <v>0</v>
      </c>
      <c r="F39" s="473">
        <f>SUMIF(修正!A57:A68,G2,修正!D57:D68)</f>
        <v>0.25</v>
      </c>
      <c r="G39" s="473">
        <f>ROUND(IF(E2="工业",C39*$M$42,C39*$M$41),0)</f>
        <v>91</v>
      </c>
      <c r="H39" s="473">
        <f t="shared" si="5"/>
        <v>0</v>
      </c>
      <c r="I39" s="473">
        <f t="shared" si="6"/>
        <v>0</v>
      </c>
      <c r="J39" s="329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607</v>
      </c>
      <c r="D40" s="2420"/>
      <c r="E40" s="473">
        <f t="shared" si="4"/>
        <v>0</v>
      </c>
      <c r="F40" s="495">
        <f>SUMIF(修正!A57:A68,G2,修正!E57:E68)</f>
        <v>0.25</v>
      </c>
      <c r="G40" s="473">
        <f>ROUND(IF(E2="工业",C40*$M$42,C40*$M$41),0)</f>
        <v>91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2992">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2992" t="s">
        <v>2284</v>
      </c>
      <c r="C50" s="2992" t="s">
        <v>2285</v>
      </c>
      <c r="D50" s="2992" t="s">
        <v>2286</v>
      </c>
      <c r="E50" s="2414" t="s">
        <v>2287</v>
      </c>
      <c r="F50" s="2456" t="s">
        <v>2288</v>
      </c>
      <c r="G50" s="2457" t="s">
        <v>517</v>
      </c>
      <c r="H50" s="502" t="s">
        <v>2289</v>
      </c>
      <c r="I50" s="2992" t="s">
        <v>2290</v>
      </c>
      <c r="J50" s="2990" t="s">
        <v>1956</v>
      </c>
      <c r="K50" s="2990" t="s">
        <v>1957</v>
      </c>
      <c r="L50" s="2990" t="s">
        <v>1958</v>
      </c>
      <c r="M50" s="2990" t="s">
        <v>1959</v>
      </c>
      <c r="N50" s="2990" t="s">
        <v>1960</v>
      </c>
    </row>
    <row r="51" spans="1:14" s="2259" customFormat="1" ht="38.25">
      <c r="A51" s="2455" t="s">
        <v>2291</v>
      </c>
      <c r="B51" s="2992" t="str">
        <f>估价对象房地状况!C4</f>
        <v>估价对象位于XX商圈，周边商业氛围成熟，人流量大，商业繁华度好</v>
      </c>
      <c r="C51" s="2325"/>
      <c r="D51" s="2992">
        <f t="shared" ref="D51:D59" si="7">SUMIF($J$50:$N$50,C51,J51:N51)</f>
        <v>0</v>
      </c>
      <c r="E51" s="2458">
        <f>ROUND(SUM(D51:D59),4)</f>
        <v>0</v>
      </c>
      <c r="F51" s="2329" t="str">
        <f>IF(E2="商业",SUMIF(L1:L12,G2,N1:N12),"——")</f>
        <v>——</v>
      </c>
      <c r="G51" s="2459"/>
      <c r="H51" s="2460" t="str">
        <f t="shared" ref="H51:H59" si="8">IFERROR(ROUNDDOWN($F$51*I51/2,4),"——")</f>
        <v>——</v>
      </c>
      <c r="I51" s="2992">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2992" t="str">
        <f>估价对象房地状况!C18</f>
        <v>估价对象周边道路状况、公共交通通达情况、停车便捷程度，综合评价交通便捷度较好</v>
      </c>
      <c r="C52" s="2325"/>
      <c r="D52" s="2992">
        <f t="shared" si="7"/>
        <v>0</v>
      </c>
      <c r="E52" s="2461"/>
      <c r="F52" s="2402"/>
      <c r="G52" s="2459"/>
      <c r="H52" s="2460" t="str">
        <f t="shared" si="8"/>
        <v>——</v>
      </c>
      <c r="I52" s="2992">
        <v>0.22</v>
      </c>
      <c r="J52" s="493">
        <f t="shared" si="9"/>
        <v>0</v>
      </c>
      <c r="K52" s="493">
        <f t="shared" si="10"/>
        <v>0</v>
      </c>
      <c r="L52" s="493">
        <v>0</v>
      </c>
      <c r="M52" s="493">
        <f t="shared" si="11"/>
        <v>0</v>
      </c>
      <c r="N52" s="493">
        <f t="shared" si="11"/>
        <v>0</v>
      </c>
    </row>
    <row r="53" spans="1:14" s="2259" customFormat="1" ht="36">
      <c r="A53" s="2462" t="s">
        <v>2814</v>
      </c>
      <c r="B53" s="2992">
        <f>估价对象房地状况!C19</f>
        <v>0</v>
      </c>
      <c r="C53" s="2325"/>
      <c r="D53" s="2992">
        <f t="shared" si="7"/>
        <v>0</v>
      </c>
      <c r="E53" s="2461"/>
      <c r="F53" s="2402"/>
      <c r="G53" s="2459"/>
      <c r="H53" s="2460" t="str">
        <f t="shared" si="8"/>
        <v>——</v>
      </c>
      <c r="I53" s="2992">
        <v>0.12</v>
      </c>
      <c r="J53" s="493">
        <f t="shared" si="9"/>
        <v>0</v>
      </c>
      <c r="K53" s="493">
        <f t="shared" si="10"/>
        <v>0</v>
      </c>
      <c r="L53" s="493">
        <v>0</v>
      </c>
      <c r="M53" s="493">
        <f t="shared" si="11"/>
        <v>0</v>
      </c>
      <c r="N53" s="493">
        <f t="shared" si="11"/>
        <v>0</v>
      </c>
    </row>
    <row r="54" spans="1:14" s="2259" customFormat="1" ht="36.75">
      <c r="A54" s="2455" t="s">
        <v>2293</v>
      </c>
      <c r="B54" s="2463" t="s">
        <v>2294</v>
      </c>
      <c r="C54" s="2325"/>
      <c r="D54" s="2992">
        <f t="shared" si="7"/>
        <v>0</v>
      </c>
      <c r="E54" s="2461"/>
      <c r="F54" s="2402"/>
      <c r="G54" s="2459"/>
      <c r="H54" s="2460" t="str">
        <f t="shared" si="8"/>
        <v>——</v>
      </c>
      <c r="I54" s="2992">
        <v>0.05</v>
      </c>
      <c r="J54" s="493">
        <f t="shared" si="9"/>
        <v>0</v>
      </c>
      <c r="K54" s="493">
        <f t="shared" si="10"/>
        <v>0</v>
      </c>
      <c r="L54" s="493">
        <v>0</v>
      </c>
      <c r="M54" s="493">
        <f t="shared" si="11"/>
        <v>0</v>
      </c>
      <c r="N54" s="493">
        <f t="shared" si="11"/>
        <v>0</v>
      </c>
    </row>
    <row r="55" spans="1:14" s="2259" customFormat="1" ht="24">
      <c r="A55" s="2455" t="s">
        <v>2295</v>
      </c>
      <c r="B55" s="2992">
        <f>估价对象房地状况!C24</f>
        <v>0</v>
      </c>
      <c r="C55" s="2325"/>
      <c r="D55" s="2992">
        <f t="shared" si="7"/>
        <v>0</v>
      </c>
      <c r="E55" s="2461"/>
      <c r="F55" s="2402"/>
      <c r="G55" s="2459"/>
      <c r="H55" s="2460" t="str">
        <f t="shared" si="8"/>
        <v>——</v>
      </c>
      <c r="I55" s="2992">
        <v>0.08</v>
      </c>
      <c r="J55" s="493">
        <f t="shared" si="9"/>
        <v>0</v>
      </c>
      <c r="K55" s="493">
        <f t="shared" si="10"/>
        <v>0</v>
      </c>
      <c r="L55" s="493">
        <v>0</v>
      </c>
      <c r="M55" s="493">
        <f t="shared" si="11"/>
        <v>0</v>
      </c>
      <c r="N55" s="493">
        <f t="shared" si="11"/>
        <v>0</v>
      </c>
    </row>
    <row r="56" spans="1:14" s="2259" customFormat="1" ht="24">
      <c r="A56" s="2455" t="s">
        <v>2296</v>
      </c>
      <c r="B56" s="2464" t="s">
        <v>2297</v>
      </c>
      <c r="C56" s="2325"/>
      <c r="D56" s="2992">
        <f t="shared" si="7"/>
        <v>0</v>
      </c>
      <c r="E56" s="2461"/>
      <c r="F56" s="2402"/>
      <c r="G56" s="2459"/>
      <c r="H56" s="2460" t="str">
        <f t="shared" si="8"/>
        <v>——</v>
      </c>
      <c r="I56" s="2992">
        <v>0.05</v>
      </c>
      <c r="J56" s="493">
        <f t="shared" si="9"/>
        <v>0</v>
      </c>
      <c r="K56" s="493">
        <f t="shared" si="10"/>
        <v>0</v>
      </c>
      <c r="L56" s="493">
        <v>0</v>
      </c>
      <c r="M56" s="493">
        <f t="shared" si="11"/>
        <v>0</v>
      </c>
      <c r="N56" s="493">
        <f t="shared" si="11"/>
        <v>0</v>
      </c>
    </row>
    <row r="57" spans="1:14" s="2259" customFormat="1" ht="25.5">
      <c r="A57" s="2465" t="s">
        <v>2298</v>
      </c>
      <c r="B57" s="2993" t="str">
        <f>估价对象房地状况!C21</f>
        <v>估价对象所在区域公共配套设施齐备情况</v>
      </c>
      <c r="C57" s="2325"/>
      <c r="D57" s="2992">
        <f t="shared" si="7"/>
        <v>0</v>
      </c>
      <c r="E57" s="2461"/>
      <c r="F57" s="2402"/>
      <c r="G57" s="2459"/>
      <c r="H57" s="2460" t="str">
        <f t="shared" si="8"/>
        <v>——</v>
      </c>
      <c r="I57" s="2992">
        <v>0.05</v>
      </c>
      <c r="J57" s="493">
        <f t="shared" si="9"/>
        <v>0</v>
      </c>
      <c r="K57" s="493">
        <f t="shared" si="10"/>
        <v>0</v>
      </c>
      <c r="L57" s="493">
        <v>0</v>
      </c>
      <c r="M57" s="493">
        <f t="shared" si="11"/>
        <v>0</v>
      </c>
      <c r="N57" s="493">
        <f t="shared" si="11"/>
        <v>0</v>
      </c>
    </row>
    <row r="58" spans="1:14" s="2259" customFormat="1" ht="24">
      <c r="A58" s="2465" t="s">
        <v>2299</v>
      </c>
      <c r="B58" s="2992" t="str">
        <f>估价对象房地状况!C22</f>
        <v>估价对象所在区域基础设施水平</v>
      </c>
      <c r="C58" s="2325"/>
      <c r="D58" s="2992">
        <f t="shared" si="7"/>
        <v>0</v>
      </c>
      <c r="E58" s="2461"/>
      <c r="F58" s="2402"/>
      <c r="G58" s="2459"/>
      <c r="H58" s="2460" t="str">
        <f t="shared" si="8"/>
        <v>——</v>
      </c>
      <c r="I58" s="2992">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2992">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2992"/>
      <c r="C61" s="2992" t="s">
        <v>2285</v>
      </c>
      <c r="D61" s="2992" t="s">
        <v>2286</v>
      </c>
      <c r="E61" s="2414" t="s">
        <v>2287</v>
      </c>
      <c r="F61" s="2456" t="s">
        <v>2302</v>
      </c>
      <c r="G61" s="2992" t="s">
        <v>517</v>
      </c>
      <c r="H61" s="502" t="s">
        <v>2289</v>
      </c>
      <c r="I61" s="2992" t="s">
        <v>2290</v>
      </c>
      <c r="J61" s="2990" t="s">
        <v>1956</v>
      </c>
      <c r="K61" s="2990" t="s">
        <v>1957</v>
      </c>
      <c r="L61" s="2990" t="s">
        <v>1958</v>
      </c>
      <c r="M61" s="2990" t="s">
        <v>1959</v>
      </c>
      <c r="N61" s="2990" t="s">
        <v>1960</v>
      </c>
    </row>
    <row r="62" spans="1:14" s="2259" customFormat="1" ht="38.25">
      <c r="A62" s="2455" t="s">
        <v>2303</v>
      </c>
      <c r="B62" s="2992" t="str">
        <f>估价对象房地状况!C17</f>
        <v>估价对象位于XX商圈，周边办公楼项目较多，入驻率高，办公集聚程度较好</v>
      </c>
      <c r="C62" s="2325"/>
      <c r="D62" s="2992">
        <f>SUMIF($J$61:$N$61,C62,J62:N62)</f>
        <v>0</v>
      </c>
      <c r="E62" s="2458">
        <f>ROUND(SUM(D62:D70),4)</f>
        <v>0</v>
      </c>
      <c r="F62" s="2329" t="str">
        <f>IF(E2="办公",SUMIF(L1:L12,G2,N1:N12),"——")</f>
        <v>——</v>
      </c>
      <c r="G62" s="2459"/>
      <c r="H62" s="2460" t="str">
        <f t="shared" ref="H62:H70" si="12">IFERROR(ROUNDDOWN($F$62*I62/2,4),"——")</f>
        <v>——</v>
      </c>
      <c r="I62" s="2992">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2992" t="str">
        <f>估价对象房地状况!C18</f>
        <v>估价对象周边道路状况、公共交通通达情况、停车便捷程度，综合评价交通便捷度较好</v>
      </c>
      <c r="C63" s="2325"/>
      <c r="D63" s="2992">
        <f t="shared" ref="D63:D70" si="16">SUMIF($J$61:$N$61,C63,J63:N63)</f>
        <v>0</v>
      </c>
      <c r="E63" s="2461"/>
      <c r="F63" s="2402"/>
      <c r="G63" s="2459"/>
      <c r="H63" s="2460" t="str">
        <f t="shared" si="12"/>
        <v>——</v>
      </c>
      <c r="I63" s="2992">
        <v>0.26</v>
      </c>
      <c r="J63" s="493">
        <f t="shared" si="13"/>
        <v>0</v>
      </c>
      <c r="K63" s="493">
        <f t="shared" si="14"/>
        <v>0</v>
      </c>
      <c r="L63" s="493">
        <v>0</v>
      </c>
      <c r="M63" s="493">
        <f t="shared" si="15"/>
        <v>0</v>
      </c>
      <c r="N63" s="493">
        <f t="shared" si="15"/>
        <v>0</v>
      </c>
    </row>
    <row r="64" spans="1:14" s="2259" customFormat="1" ht="36">
      <c r="A64" s="2462" t="s">
        <v>2814</v>
      </c>
      <c r="B64" s="2992">
        <f>估价对象房地状况!C19</f>
        <v>0</v>
      </c>
      <c r="C64" s="2325"/>
      <c r="D64" s="2992">
        <f t="shared" si="16"/>
        <v>0</v>
      </c>
      <c r="E64" s="2461"/>
      <c r="F64" s="2402"/>
      <c r="G64" s="2459"/>
      <c r="H64" s="2460" t="str">
        <f t="shared" si="12"/>
        <v>——</v>
      </c>
      <c r="I64" s="2992">
        <v>0.11</v>
      </c>
      <c r="J64" s="493">
        <f t="shared" si="13"/>
        <v>0</v>
      </c>
      <c r="K64" s="493">
        <f t="shared" si="14"/>
        <v>0</v>
      </c>
      <c r="L64" s="493">
        <v>0</v>
      </c>
      <c r="M64" s="493">
        <f t="shared" si="15"/>
        <v>0</v>
      </c>
      <c r="N64" s="493">
        <f t="shared" si="15"/>
        <v>0</v>
      </c>
    </row>
    <row r="65" spans="1:33" s="2259" customFormat="1" ht="36.75">
      <c r="A65" s="2455" t="s">
        <v>2293</v>
      </c>
      <c r="B65" s="2463" t="s">
        <v>2294</v>
      </c>
      <c r="C65" s="2325"/>
      <c r="D65" s="2992">
        <f t="shared" si="16"/>
        <v>0</v>
      </c>
      <c r="E65" s="2461"/>
      <c r="F65" s="2402"/>
      <c r="G65" s="2459"/>
      <c r="H65" s="2460" t="str">
        <f t="shared" si="12"/>
        <v>——</v>
      </c>
      <c r="I65" s="2992">
        <v>0.05</v>
      </c>
      <c r="J65" s="493">
        <f t="shared" si="13"/>
        <v>0</v>
      </c>
      <c r="K65" s="493">
        <f t="shared" si="14"/>
        <v>0</v>
      </c>
      <c r="L65" s="493">
        <v>0</v>
      </c>
      <c r="M65" s="493">
        <f t="shared" si="15"/>
        <v>0</v>
      </c>
      <c r="N65" s="493">
        <f t="shared" si="15"/>
        <v>0</v>
      </c>
    </row>
    <row r="66" spans="1:33" s="2259" customFormat="1" ht="24">
      <c r="A66" s="2455" t="s">
        <v>2295</v>
      </c>
      <c r="B66" s="2992">
        <f>估价对象房地状况!C24</f>
        <v>0</v>
      </c>
      <c r="C66" s="2325"/>
      <c r="D66" s="2992">
        <f t="shared" si="16"/>
        <v>0</v>
      </c>
      <c r="E66" s="2461"/>
      <c r="F66" s="2402"/>
      <c r="G66" s="2459"/>
      <c r="H66" s="2460" t="str">
        <f t="shared" si="12"/>
        <v>——</v>
      </c>
      <c r="I66" s="2992">
        <v>0.05</v>
      </c>
      <c r="J66" s="493">
        <f t="shared" si="13"/>
        <v>0</v>
      </c>
      <c r="K66" s="493">
        <f t="shared" si="14"/>
        <v>0</v>
      </c>
      <c r="L66" s="493">
        <v>0</v>
      </c>
      <c r="M66" s="493">
        <f t="shared" si="15"/>
        <v>0</v>
      </c>
      <c r="N66" s="493">
        <f t="shared" si="15"/>
        <v>0</v>
      </c>
    </row>
    <row r="67" spans="1:33" s="2259" customFormat="1" ht="24">
      <c r="A67" s="2455" t="s">
        <v>2296</v>
      </c>
      <c r="B67" s="2464" t="s">
        <v>2297</v>
      </c>
      <c r="C67" s="2325"/>
      <c r="D67" s="2992">
        <f t="shared" si="16"/>
        <v>0</v>
      </c>
      <c r="E67" s="2461"/>
      <c r="F67" s="2402"/>
      <c r="G67" s="2459"/>
      <c r="H67" s="2460" t="str">
        <f t="shared" si="12"/>
        <v>——</v>
      </c>
      <c r="I67" s="2992">
        <v>0.06</v>
      </c>
      <c r="J67" s="493">
        <f t="shared" si="13"/>
        <v>0</v>
      </c>
      <c r="K67" s="493">
        <f t="shared" si="14"/>
        <v>0</v>
      </c>
      <c r="L67" s="493">
        <v>0</v>
      </c>
      <c r="M67" s="493">
        <f t="shared" si="15"/>
        <v>0</v>
      </c>
      <c r="N67" s="493">
        <f t="shared" si="15"/>
        <v>0</v>
      </c>
    </row>
    <row r="68" spans="1:33" s="2259" customFormat="1" ht="25.5">
      <c r="A68" s="2455" t="s">
        <v>2298</v>
      </c>
      <c r="B68" s="2993" t="str">
        <f>估价对象房地状况!C21</f>
        <v>估价对象所在区域公共配套设施齐备情况</v>
      </c>
      <c r="C68" s="2325"/>
      <c r="D68" s="2992">
        <f t="shared" si="16"/>
        <v>0</v>
      </c>
      <c r="E68" s="2461"/>
      <c r="F68" s="2402"/>
      <c r="G68" s="2459"/>
      <c r="H68" s="2460" t="str">
        <f t="shared" si="12"/>
        <v>——</v>
      </c>
      <c r="I68" s="2992">
        <v>0.06</v>
      </c>
      <c r="J68" s="493">
        <f t="shared" si="13"/>
        <v>0</v>
      </c>
      <c r="K68" s="493">
        <f t="shared" si="14"/>
        <v>0</v>
      </c>
      <c r="L68" s="493">
        <v>0</v>
      </c>
      <c r="M68" s="493">
        <f t="shared" si="15"/>
        <v>0</v>
      </c>
      <c r="N68" s="493">
        <f t="shared" si="15"/>
        <v>0</v>
      </c>
    </row>
    <row r="69" spans="1:33" s="2259" customFormat="1" ht="24">
      <c r="A69" s="2455" t="s">
        <v>2299</v>
      </c>
      <c r="B69" s="2993" t="str">
        <f>估价对象房地状况!C22</f>
        <v>估价对象所在区域基础设施水平</v>
      </c>
      <c r="C69" s="2325"/>
      <c r="D69" s="2992">
        <f t="shared" si="16"/>
        <v>0</v>
      </c>
      <c r="E69" s="2461"/>
      <c r="F69" s="2402"/>
      <c r="G69" s="2459"/>
      <c r="H69" s="2460" t="str">
        <f t="shared" si="12"/>
        <v>——</v>
      </c>
      <c r="I69" s="2992">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2992">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2992"/>
      <c r="C72" s="2992" t="s">
        <v>2285</v>
      </c>
      <c r="D72" s="2992" t="s">
        <v>2286</v>
      </c>
      <c r="E72" s="2414" t="s">
        <v>2287</v>
      </c>
      <c r="F72" s="2456" t="s">
        <v>2302</v>
      </c>
      <c r="G72" s="2992" t="s">
        <v>517</v>
      </c>
      <c r="H72" s="502" t="s">
        <v>2289</v>
      </c>
      <c r="I72" s="2992" t="s">
        <v>2290</v>
      </c>
      <c r="J72" s="2990" t="s">
        <v>1956</v>
      </c>
      <c r="K72" s="2990" t="s">
        <v>1957</v>
      </c>
      <c r="L72" s="2990" t="s">
        <v>1958</v>
      </c>
      <c r="M72" s="2990" t="s">
        <v>1959</v>
      </c>
      <c r="N72" s="2990" t="s">
        <v>1960</v>
      </c>
    </row>
    <row r="73" spans="1:33" s="2259" customFormat="1" ht="51">
      <c r="A73" s="2462" t="s">
        <v>2816</v>
      </c>
      <c r="B73" s="2992" t="str">
        <f>估价对象房地状况!C15</f>
        <v>估价对象周边居住用地比例、居住小区规模和社区发展完善程度，综合评价居住社区成熟度一般</v>
      </c>
      <c r="C73" s="2325"/>
      <c r="D73" s="2992">
        <f t="shared" ref="D73:D81" si="17">SUMIF($J$72:$N$72,C73,J73:N73)</f>
        <v>0</v>
      </c>
      <c r="E73" s="2458">
        <f>ROUND(SUM(D73:D81),4)</f>
        <v>0</v>
      </c>
      <c r="F73" s="2329" t="str">
        <f>IF(E2="住宅",SUMIF(L1:L12,G2,N1:N12),"——")</f>
        <v>——</v>
      </c>
      <c r="G73" s="2459"/>
      <c r="H73" s="2460" t="str">
        <f t="shared" ref="H73:H81" si="18">IFERROR(ROUNDDOWN($F$73*I73/2,4),"——")</f>
        <v>——</v>
      </c>
      <c r="I73" s="2992">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2992" t="str">
        <f>估价对象房地状况!C18</f>
        <v>估价对象周边道路状况、公共交通通达情况、停车便捷程度，综合评价交通便捷度较好</v>
      </c>
      <c r="C74" s="2325"/>
      <c r="D74" s="2992">
        <f t="shared" si="17"/>
        <v>0</v>
      </c>
      <c r="E74" s="2461"/>
      <c r="F74" s="2329"/>
      <c r="G74" s="2459"/>
      <c r="H74" s="2460" t="str">
        <f t="shared" si="18"/>
        <v>——</v>
      </c>
      <c r="I74" s="2992">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2992">
        <f>估价对象房地状况!C19</f>
        <v>0</v>
      </c>
      <c r="C75" s="2325"/>
      <c r="D75" s="2992">
        <f t="shared" si="17"/>
        <v>0</v>
      </c>
      <c r="E75" s="2461"/>
      <c r="F75" s="2329"/>
      <c r="G75" s="2459"/>
      <c r="H75" s="2460" t="str">
        <f t="shared" si="18"/>
        <v>——</v>
      </c>
      <c r="I75" s="2992">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2992">
        <f>估价对象房地状况!C24</f>
        <v>0</v>
      </c>
      <c r="C76" s="2325"/>
      <c r="D76" s="2992">
        <f t="shared" si="17"/>
        <v>0</v>
      </c>
      <c r="E76" s="2461"/>
      <c r="F76" s="2329"/>
      <c r="G76" s="2459"/>
      <c r="H76" s="2460" t="str">
        <f t="shared" si="18"/>
        <v>——</v>
      </c>
      <c r="I76" s="2992">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2993" t="str">
        <f>估价对象房地状况!C21</f>
        <v>估价对象所在区域公共配套设施齐备情况</v>
      </c>
      <c r="C77" s="2325"/>
      <c r="D77" s="2992">
        <f t="shared" si="17"/>
        <v>0</v>
      </c>
      <c r="E77" s="2461"/>
      <c r="F77" s="2329"/>
      <c r="G77" s="2459"/>
      <c r="H77" s="2460" t="str">
        <f t="shared" si="18"/>
        <v>——</v>
      </c>
      <c r="I77" s="2992">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2993" t="str">
        <f>估价对象房地状况!C22</f>
        <v>估价对象所在区域基础设施水平</v>
      </c>
      <c r="C78" s="2325"/>
      <c r="D78" s="2992">
        <f t="shared" si="17"/>
        <v>0</v>
      </c>
      <c r="E78" s="2461"/>
      <c r="F78" s="2329"/>
      <c r="G78" s="2459"/>
      <c r="H78" s="2460" t="str">
        <f t="shared" si="18"/>
        <v>——</v>
      </c>
      <c r="I78" s="2992">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2992">
        <f t="shared" si="17"/>
        <v>0</v>
      </c>
      <c r="E79" s="2461"/>
      <c r="F79" s="2329"/>
      <c r="G79" s="2459"/>
      <c r="H79" s="2460" t="str">
        <f t="shared" si="18"/>
        <v>——</v>
      </c>
      <c r="I79" s="2992">
        <v>0.05</v>
      </c>
      <c r="J79" s="493">
        <f t="shared" si="19"/>
        <v>0</v>
      </c>
      <c r="K79" s="493">
        <f t="shared" si="20"/>
        <v>0</v>
      </c>
      <c r="L79" s="493">
        <v>0</v>
      </c>
      <c r="M79" s="493">
        <f t="shared" si="21"/>
        <v>0</v>
      </c>
      <c r="N79" s="493">
        <f t="shared" si="21"/>
        <v>0</v>
      </c>
      <c r="AA79" s="2261"/>
      <c r="AG79" s="2259"/>
    </row>
    <row r="80" spans="1:33" ht="25.5">
      <c r="A80" s="2455" t="s">
        <v>2300</v>
      </c>
      <c r="B80" s="2992" t="str">
        <f>估价对象房地状况!C20</f>
        <v>区域自然环境：；人文环境；综合评价环境状况一般</v>
      </c>
      <c r="C80" s="2325"/>
      <c r="D80" s="2992">
        <f t="shared" si="17"/>
        <v>0</v>
      </c>
      <c r="E80" s="2461"/>
      <c r="F80" s="2329"/>
      <c r="G80" s="2459"/>
      <c r="H80" s="2460" t="str">
        <f t="shared" si="18"/>
        <v>——</v>
      </c>
      <c r="I80" s="2992">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2992">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2992"/>
      <c r="C83" s="2992" t="s">
        <v>2285</v>
      </c>
      <c r="D83" s="2992" t="s">
        <v>2286</v>
      </c>
      <c r="E83" s="2414" t="s">
        <v>2287</v>
      </c>
      <c r="F83" s="2456" t="s">
        <v>2302</v>
      </c>
      <c r="G83" s="2992" t="s">
        <v>517</v>
      </c>
      <c r="H83" s="502" t="s">
        <v>2289</v>
      </c>
      <c r="I83" s="2992" t="s">
        <v>2290</v>
      </c>
      <c r="J83" s="2990" t="s">
        <v>1956</v>
      </c>
      <c r="K83" s="2990" t="s">
        <v>1957</v>
      </c>
      <c r="L83" s="2990" t="s">
        <v>1958</v>
      </c>
      <c r="M83" s="2990" t="s">
        <v>1959</v>
      </c>
      <c r="N83" s="2990" t="s">
        <v>1960</v>
      </c>
      <c r="AA83" s="2261"/>
      <c r="AG83" s="2259"/>
    </row>
    <row r="84" spans="1:33" ht="25.5">
      <c r="A84" s="2455" t="s">
        <v>2308</v>
      </c>
      <c r="B84" s="2992" t="str">
        <f>估价对象房地状况!G15</f>
        <v>估价对象位于XX开发区，园区建设成熟度XX，产业集聚程度XX</v>
      </c>
      <c r="C84" s="2325"/>
      <c r="D84" s="2992">
        <f t="shared" ref="D84:D91" si="22">SUMIF($J$83:$N$83,C84,J84:N84)</f>
        <v>0</v>
      </c>
      <c r="E84" s="2458">
        <f>ROUND(SUM(D84:D91),4)</f>
        <v>0</v>
      </c>
      <c r="F84" s="2329">
        <f>IF(E2="工业",SUMIF(L1:L12,G2,N1:N12),"——")</f>
        <v>0.05</v>
      </c>
      <c r="G84" s="2459"/>
      <c r="H84" s="2460">
        <f t="shared" ref="H84:H91" si="23">IFERROR(ROUNDDOWN($F$84*I84/2,4),"——")</f>
        <v>6.4999999999999997E-3</v>
      </c>
      <c r="I84" s="2992">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2992" t="str">
        <f>估价对象房地状况!G16</f>
        <v>估价对象周边道路状况、公共交通通达情况、停车便捷程度，综合评价交通便捷度较好</v>
      </c>
      <c r="C85" s="2325"/>
      <c r="D85" s="2992">
        <f t="shared" si="22"/>
        <v>0</v>
      </c>
      <c r="E85" s="2461"/>
      <c r="F85" s="2329"/>
      <c r="G85" s="2459"/>
      <c r="H85" s="2460">
        <f t="shared" si="23"/>
        <v>7.4999999999999997E-3</v>
      </c>
      <c r="I85" s="2992">
        <v>0.3</v>
      </c>
      <c r="J85" s="493">
        <f t="shared" si="24"/>
        <v>0</v>
      </c>
      <c r="K85" s="493">
        <f t="shared" si="25"/>
        <v>0</v>
      </c>
      <c r="L85" s="493">
        <v>0</v>
      </c>
      <c r="M85" s="493">
        <f t="shared" si="26"/>
        <v>0</v>
      </c>
      <c r="N85" s="493">
        <f t="shared" si="26"/>
        <v>0</v>
      </c>
      <c r="AA85" s="2261"/>
      <c r="AG85" s="2259"/>
    </row>
    <row r="86" spans="1:33" ht="36">
      <c r="A86" s="2462" t="s">
        <v>2814</v>
      </c>
      <c r="B86" s="2992">
        <f>估价对象房地状况!G17</f>
        <v>0</v>
      </c>
      <c r="C86" s="2325"/>
      <c r="D86" s="2992">
        <f t="shared" si="22"/>
        <v>0</v>
      </c>
      <c r="E86" s="2461"/>
      <c r="F86" s="2329"/>
      <c r="G86" s="2459"/>
      <c r="H86" s="2460">
        <f t="shared" si="23"/>
        <v>2.5000000000000001E-3</v>
      </c>
      <c r="I86" s="2992">
        <v>0.1</v>
      </c>
      <c r="J86" s="493">
        <f t="shared" si="24"/>
        <v>0</v>
      </c>
      <c r="K86" s="493">
        <f t="shared" si="25"/>
        <v>0</v>
      </c>
      <c r="L86" s="493">
        <v>0</v>
      </c>
      <c r="M86" s="493">
        <f t="shared" si="26"/>
        <v>0</v>
      </c>
      <c r="N86" s="493">
        <f t="shared" si="26"/>
        <v>0</v>
      </c>
      <c r="AA86" s="2261"/>
      <c r="AG86" s="2259"/>
    </row>
    <row r="87" spans="1:33" ht="14.25">
      <c r="A87" s="2455" t="s">
        <v>2305</v>
      </c>
      <c r="B87" s="2992">
        <f>估价对象房地状况!G22</f>
        <v>0</v>
      </c>
      <c r="C87" s="2325"/>
      <c r="D87" s="2992">
        <f t="shared" si="22"/>
        <v>0</v>
      </c>
      <c r="E87" s="2461"/>
      <c r="F87" s="2329"/>
      <c r="G87" s="2459"/>
      <c r="H87" s="2460">
        <f t="shared" si="23"/>
        <v>1.1999999999999999E-3</v>
      </c>
      <c r="I87" s="2992">
        <v>0.05</v>
      </c>
      <c r="J87" s="493">
        <f t="shared" si="24"/>
        <v>0</v>
      </c>
      <c r="K87" s="493">
        <f t="shared" si="25"/>
        <v>0</v>
      </c>
      <c r="L87" s="493">
        <v>0</v>
      </c>
      <c r="M87" s="493">
        <f t="shared" si="26"/>
        <v>0</v>
      </c>
      <c r="N87" s="493">
        <f t="shared" si="26"/>
        <v>0</v>
      </c>
      <c r="AA87" s="2261"/>
      <c r="AG87" s="2259"/>
    </row>
    <row r="88" spans="1:33" ht="25.5">
      <c r="A88" s="2455" t="s">
        <v>2298</v>
      </c>
      <c r="B88" s="2993" t="str">
        <f>估价对象房地状况!G19</f>
        <v>估价对象所在区域公共配套设施齐备情况</v>
      </c>
      <c r="C88" s="2325"/>
      <c r="D88" s="2992">
        <f t="shared" si="22"/>
        <v>0</v>
      </c>
      <c r="E88" s="2461"/>
      <c r="F88" s="2329"/>
      <c r="G88" s="2459"/>
      <c r="H88" s="2460">
        <f t="shared" si="23"/>
        <v>1.5E-3</v>
      </c>
      <c r="I88" s="2992">
        <v>0.06</v>
      </c>
      <c r="J88" s="493">
        <f t="shared" si="24"/>
        <v>0</v>
      </c>
      <c r="K88" s="493">
        <f t="shared" si="25"/>
        <v>0</v>
      </c>
      <c r="L88" s="493">
        <v>0</v>
      </c>
      <c r="M88" s="493">
        <f t="shared" si="26"/>
        <v>0</v>
      </c>
      <c r="N88" s="493">
        <f t="shared" si="26"/>
        <v>0</v>
      </c>
    </row>
    <row r="89" spans="1:33" ht="24">
      <c r="A89" s="2455" t="s">
        <v>2299</v>
      </c>
      <c r="B89" s="2993" t="str">
        <f>估价对象房地状况!G20</f>
        <v>估价对象所在区域基础设施水平</v>
      </c>
      <c r="C89" s="2325"/>
      <c r="D89" s="2992">
        <f t="shared" si="22"/>
        <v>0</v>
      </c>
      <c r="E89" s="2461"/>
      <c r="F89" s="2329"/>
      <c r="G89" s="2459"/>
      <c r="H89" s="2460">
        <f t="shared" si="23"/>
        <v>3.0000000000000001E-3</v>
      </c>
      <c r="I89" s="2992">
        <v>0.12</v>
      </c>
      <c r="J89" s="493">
        <f t="shared" si="24"/>
        <v>0</v>
      </c>
      <c r="K89" s="493">
        <f t="shared" si="25"/>
        <v>0</v>
      </c>
      <c r="L89" s="493">
        <v>0</v>
      </c>
      <c r="M89" s="493">
        <f t="shared" si="26"/>
        <v>0</v>
      </c>
      <c r="N89" s="493">
        <f t="shared" si="26"/>
        <v>0</v>
      </c>
    </row>
    <row r="90" spans="1:33" ht="24">
      <c r="A90" s="2455" t="s">
        <v>2296</v>
      </c>
      <c r="B90" s="2464" t="s">
        <v>2309</v>
      </c>
      <c r="C90" s="2325"/>
      <c r="D90" s="2992">
        <f t="shared" si="22"/>
        <v>0</v>
      </c>
      <c r="E90" s="2461"/>
      <c r="F90" s="2329"/>
      <c r="G90" s="2459"/>
      <c r="H90" s="2460">
        <f t="shared" si="23"/>
        <v>1.5E-3</v>
      </c>
      <c r="I90" s="2992">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2992">
        <f t="shared" si="22"/>
        <v>0</v>
      </c>
      <c r="E91" s="487"/>
      <c r="F91" s="2329"/>
      <c r="G91" s="2459"/>
      <c r="H91" s="2460">
        <f t="shared" si="23"/>
        <v>1.1999999999999999E-3</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2710</v>
      </c>
      <c r="B92" s="2450">
        <f>1+E94</f>
        <v>1</v>
      </c>
      <c r="C92" s="2473"/>
      <c r="D92" s="2473"/>
      <c r="E92" s="2473"/>
      <c r="F92" s="2473"/>
      <c r="S92" s="2259"/>
      <c r="T92" s="2259"/>
      <c r="U92" s="2259"/>
      <c r="V92" s="2259"/>
      <c r="W92" s="2259"/>
      <c r="X92" s="2259"/>
      <c r="Y92" s="2259"/>
    </row>
    <row r="93" spans="1:33" s="2259" customFormat="1" ht="24.75">
      <c r="A93" s="2455" t="s">
        <v>2283</v>
      </c>
      <c r="B93" s="2992"/>
      <c r="C93" s="2992" t="s">
        <v>2285</v>
      </c>
      <c r="D93" s="2992" t="s">
        <v>2286</v>
      </c>
      <c r="E93" s="2414" t="s">
        <v>2287</v>
      </c>
      <c r="F93" s="2456" t="s">
        <v>2302</v>
      </c>
      <c r="G93" s="2992" t="s">
        <v>517</v>
      </c>
      <c r="H93" s="502" t="s">
        <v>2289</v>
      </c>
      <c r="I93" s="2992" t="s">
        <v>2290</v>
      </c>
      <c r="J93" s="2990" t="s">
        <v>1956</v>
      </c>
      <c r="K93" s="2990" t="s">
        <v>1957</v>
      </c>
      <c r="L93" s="2990" t="s">
        <v>1958</v>
      </c>
      <c r="M93" s="2990" t="s">
        <v>1959</v>
      </c>
      <c r="N93" s="2990" t="s">
        <v>1960</v>
      </c>
    </row>
    <row r="94" spans="1:33" s="2259" customFormat="1" ht="24">
      <c r="A94" s="2462" t="s">
        <v>2818</v>
      </c>
      <c r="B94" s="605"/>
      <c r="C94" s="2325"/>
      <c r="D94" s="2992">
        <f>SUMIF($J$93:$N$93,C94,J94:N94)</f>
        <v>0</v>
      </c>
      <c r="E94" s="2458">
        <f>ROUND(SUM(D94:D102),4)</f>
        <v>0</v>
      </c>
      <c r="F94" s="2329" t="str">
        <f>IF(E2="公共服务",SUMIF(L1:L12,G2,N1:N12),"——")</f>
        <v>——</v>
      </c>
      <c r="G94" s="2459"/>
      <c r="H94" s="2460" t="str">
        <f>IFERROR(ROUNDDOWN($F$94*I94/2,4),"——")</f>
        <v>——</v>
      </c>
      <c r="I94" s="2992">
        <v>0.25</v>
      </c>
      <c r="J94" s="493">
        <f t="shared" ref="J94:J102" si="27">K94+$G94</f>
        <v>0</v>
      </c>
      <c r="K94" s="493">
        <f t="shared" ref="K94:K102" si="28">$L94+$G94</f>
        <v>0</v>
      </c>
      <c r="L94" s="493">
        <v>0</v>
      </c>
      <c r="M94" s="493">
        <f t="shared" ref="M94:N102" si="29">L94-$G94</f>
        <v>0</v>
      </c>
      <c r="N94" s="493">
        <f t="shared" si="29"/>
        <v>0</v>
      </c>
    </row>
    <row r="95" spans="1:33" s="2259" customFormat="1" ht="38.25">
      <c r="A95" s="2455" t="s">
        <v>2292</v>
      </c>
      <c r="B95" s="2992" t="str">
        <f>估价对象房地状况!C18</f>
        <v>估价对象周边道路状况、公共交通通达情况、停车便捷程度，综合评价交通便捷度较好</v>
      </c>
      <c r="C95" s="2325"/>
      <c r="D95" s="2992">
        <f t="shared" ref="D95:D102" si="30">SUMIF($J$61:$N$61,C95,J95:N95)</f>
        <v>0</v>
      </c>
      <c r="E95" s="2461"/>
      <c r="F95" s="2329"/>
      <c r="G95" s="2459"/>
      <c r="H95" s="2460" t="str">
        <f>IFERROR(ROUNDDOWN($F$94*I95/2,4),"——")</f>
        <v>——</v>
      </c>
      <c r="I95" s="2992">
        <v>0.26</v>
      </c>
      <c r="J95" s="493">
        <f t="shared" si="27"/>
        <v>0</v>
      </c>
      <c r="K95" s="493">
        <f t="shared" si="28"/>
        <v>0</v>
      </c>
      <c r="L95" s="493">
        <v>0</v>
      </c>
      <c r="M95" s="493">
        <f t="shared" si="29"/>
        <v>0</v>
      </c>
      <c r="N95" s="493">
        <f t="shared" si="29"/>
        <v>0</v>
      </c>
    </row>
    <row r="96" spans="1:33" s="2259" customFormat="1" ht="36">
      <c r="A96" s="2462" t="s">
        <v>2814</v>
      </c>
      <c r="B96" s="2992">
        <f>估价对象房地状况!C19</f>
        <v>0</v>
      </c>
      <c r="C96" s="2325"/>
      <c r="D96" s="2992">
        <f t="shared" si="30"/>
        <v>0</v>
      </c>
      <c r="E96" s="2461"/>
      <c r="F96" s="2329"/>
      <c r="G96" s="2459"/>
      <c r="H96" s="2460" t="str">
        <f t="shared" ref="H96:H102" si="31">IFERROR(ROUNDDOWN($F$94*I96/2,4),"——")</f>
        <v>——</v>
      </c>
      <c r="I96" s="2992">
        <v>0.11</v>
      </c>
      <c r="J96" s="493">
        <f t="shared" si="27"/>
        <v>0</v>
      </c>
      <c r="K96" s="493">
        <f t="shared" si="28"/>
        <v>0</v>
      </c>
      <c r="L96" s="493">
        <v>0</v>
      </c>
      <c r="M96" s="493">
        <f t="shared" si="29"/>
        <v>0</v>
      </c>
      <c r="N96" s="493">
        <f t="shared" si="29"/>
        <v>0</v>
      </c>
    </row>
    <row r="97" spans="1:25" s="2259" customFormat="1" ht="36.75">
      <c r="A97" s="2455" t="s">
        <v>2293</v>
      </c>
      <c r="B97" s="2463" t="s">
        <v>2294</v>
      </c>
      <c r="C97" s="2325"/>
      <c r="D97" s="2992">
        <f t="shared" si="30"/>
        <v>0</v>
      </c>
      <c r="E97" s="2461"/>
      <c r="F97" s="2329"/>
      <c r="G97" s="2459"/>
      <c r="H97" s="2460" t="str">
        <f t="shared" si="31"/>
        <v>——</v>
      </c>
      <c r="I97" s="2992">
        <v>0.05</v>
      </c>
      <c r="J97" s="493">
        <f t="shared" si="27"/>
        <v>0</v>
      </c>
      <c r="K97" s="493">
        <f t="shared" si="28"/>
        <v>0</v>
      </c>
      <c r="L97" s="493">
        <v>0</v>
      </c>
      <c r="M97" s="493">
        <f t="shared" si="29"/>
        <v>0</v>
      </c>
      <c r="N97" s="493">
        <f t="shared" si="29"/>
        <v>0</v>
      </c>
    </row>
    <row r="98" spans="1:25" s="2259" customFormat="1" ht="24">
      <c r="A98" s="2455" t="s">
        <v>2295</v>
      </c>
      <c r="B98" s="2992">
        <f>估价对象房地状况!C24</f>
        <v>0</v>
      </c>
      <c r="C98" s="2325"/>
      <c r="D98" s="2992">
        <f t="shared" si="30"/>
        <v>0</v>
      </c>
      <c r="E98" s="2461"/>
      <c r="F98" s="2329"/>
      <c r="G98" s="2459"/>
      <c r="H98" s="2460" t="str">
        <f t="shared" si="31"/>
        <v>——</v>
      </c>
      <c r="I98" s="2992">
        <v>0.05</v>
      </c>
      <c r="J98" s="493">
        <f t="shared" si="27"/>
        <v>0</v>
      </c>
      <c r="K98" s="493">
        <f t="shared" si="28"/>
        <v>0</v>
      </c>
      <c r="L98" s="493">
        <v>0</v>
      </c>
      <c r="M98" s="493">
        <f t="shared" si="29"/>
        <v>0</v>
      </c>
      <c r="N98" s="493">
        <f t="shared" si="29"/>
        <v>0</v>
      </c>
    </row>
    <row r="99" spans="1:25" s="2259" customFormat="1" ht="24">
      <c r="A99" s="2455" t="s">
        <v>2296</v>
      </c>
      <c r="B99" s="2464" t="s">
        <v>2297</v>
      </c>
      <c r="C99" s="2325"/>
      <c r="D99" s="2992">
        <f t="shared" si="30"/>
        <v>0</v>
      </c>
      <c r="E99" s="2461"/>
      <c r="F99" s="2329"/>
      <c r="G99" s="2459"/>
      <c r="H99" s="2460" t="str">
        <f t="shared" si="31"/>
        <v>——</v>
      </c>
      <c r="I99" s="2992">
        <v>0.06</v>
      </c>
      <c r="J99" s="493">
        <f t="shared" si="27"/>
        <v>0</v>
      </c>
      <c r="K99" s="493">
        <f t="shared" si="28"/>
        <v>0</v>
      </c>
      <c r="L99" s="493">
        <v>0</v>
      </c>
      <c r="M99" s="493">
        <f t="shared" si="29"/>
        <v>0</v>
      </c>
      <c r="N99" s="493">
        <f t="shared" si="29"/>
        <v>0</v>
      </c>
    </row>
    <row r="100" spans="1:25" s="2259" customFormat="1" ht="25.5">
      <c r="A100" s="2455" t="s">
        <v>2298</v>
      </c>
      <c r="B100" s="2993" t="str">
        <f>估价对象房地状况!C21</f>
        <v>估价对象所在区域公共配套设施齐备情况</v>
      </c>
      <c r="C100" s="2325"/>
      <c r="D100" s="2992">
        <f t="shared" si="30"/>
        <v>0</v>
      </c>
      <c r="E100" s="2461"/>
      <c r="F100" s="2329"/>
      <c r="G100" s="2459"/>
      <c r="H100" s="2460" t="str">
        <f t="shared" si="31"/>
        <v>——</v>
      </c>
      <c r="I100" s="2992">
        <v>0.06</v>
      </c>
      <c r="J100" s="493">
        <f t="shared" si="27"/>
        <v>0</v>
      </c>
      <c r="K100" s="493">
        <f t="shared" si="28"/>
        <v>0</v>
      </c>
      <c r="L100" s="493">
        <v>0</v>
      </c>
      <c r="M100" s="493">
        <f t="shared" si="29"/>
        <v>0</v>
      </c>
      <c r="N100" s="493">
        <f t="shared" si="29"/>
        <v>0</v>
      </c>
    </row>
    <row r="101" spans="1:25" s="2259" customFormat="1" ht="24">
      <c r="A101" s="2455" t="s">
        <v>2299</v>
      </c>
      <c r="B101" s="2993" t="str">
        <f>估价对象房地状况!C22</f>
        <v>估价对象所在区域基础设施水平</v>
      </c>
      <c r="C101" s="2325"/>
      <c r="D101" s="2992">
        <f t="shared" si="30"/>
        <v>0</v>
      </c>
      <c r="E101" s="2461"/>
      <c r="F101" s="2329"/>
      <c r="G101" s="2459"/>
      <c r="H101" s="2460" t="str">
        <f t="shared" si="31"/>
        <v>——</v>
      </c>
      <c r="I101" s="2992">
        <v>0.09</v>
      </c>
      <c r="J101" s="493">
        <f t="shared" si="27"/>
        <v>0</v>
      </c>
      <c r="K101" s="493">
        <f t="shared" si="28"/>
        <v>0</v>
      </c>
      <c r="L101" s="493">
        <v>0</v>
      </c>
      <c r="M101" s="493">
        <f t="shared" si="29"/>
        <v>0</v>
      </c>
      <c r="N101" s="493">
        <f t="shared" si="29"/>
        <v>0</v>
      </c>
    </row>
    <row r="102" spans="1:25" s="2259" customFormat="1" ht="26.25" thickBot="1">
      <c r="A102" s="2466" t="s">
        <v>2300</v>
      </c>
      <c r="B102" s="2468" t="str">
        <f>估价对象房地状况!C20</f>
        <v>区域自然环境：；人文环境；综合评价环境状况一般</v>
      </c>
      <c r="C102" s="2325"/>
      <c r="D102" s="2992">
        <f t="shared" si="30"/>
        <v>0</v>
      </c>
      <c r="E102" s="487"/>
      <c r="F102" s="2329"/>
      <c r="G102" s="2459"/>
      <c r="H102" s="2460" t="str">
        <f t="shared" si="31"/>
        <v>——</v>
      </c>
      <c r="I102" s="2468">
        <v>7.0000000000000007E-2</v>
      </c>
      <c r="J102" s="493">
        <f t="shared" si="27"/>
        <v>0</v>
      </c>
      <c r="K102" s="493">
        <f t="shared" si="28"/>
        <v>0</v>
      </c>
      <c r="L102" s="493">
        <v>0</v>
      </c>
      <c r="M102" s="493">
        <f t="shared" si="29"/>
        <v>0</v>
      </c>
      <c r="N102" s="493">
        <f t="shared" si="29"/>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306" t="s">
        <v>2311</v>
      </c>
      <c r="B104" s="3306"/>
      <c r="C104" s="3306"/>
      <c r="D104" s="3306"/>
      <c r="E104" s="3306"/>
      <c r="F104" s="3306"/>
      <c r="G104" s="3306"/>
      <c r="H104" s="3306"/>
      <c r="I104" s="3306"/>
      <c r="J104" s="3306"/>
      <c r="K104" s="2997"/>
      <c r="L104" s="2997"/>
      <c r="M104" s="2997"/>
      <c r="N104" s="2997"/>
    </row>
    <row r="105" spans="1:25">
      <c r="A105" s="3307" t="s">
        <v>2312</v>
      </c>
      <c r="B105" s="3307" t="s">
        <v>2313</v>
      </c>
      <c r="C105" s="2422" t="s">
        <v>2314</v>
      </c>
      <c r="D105" s="2423"/>
      <c r="E105" s="2423"/>
      <c r="F105" s="2423"/>
      <c r="G105" s="2423"/>
      <c r="H105" s="2423"/>
      <c r="I105" s="2423"/>
      <c r="J105" s="2480"/>
      <c r="K105" s="2481"/>
      <c r="L105" s="2481"/>
      <c r="M105" s="2481"/>
      <c r="N105" s="2481"/>
    </row>
    <row r="106" spans="1:25">
      <c r="A106" s="3307"/>
      <c r="B106" s="3307"/>
      <c r="C106" s="2999" t="s">
        <v>2199</v>
      </c>
      <c r="D106" s="2999" t="s">
        <v>2200</v>
      </c>
      <c r="E106" s="2999" t="s">
        <v>2201</v>
      </c>
      <c r="F106" s="2999" t="s">
        <v>2202</v>
      </c>
      <c r="G106" s="2999" t="s">
        <v>2203</v>
      </c>
      <c r="H106" s="2999" t="s">
        <v>2204</v>
      </c>
      <c r="I106" s="2999" t="s">
        <v>2205</v>
      </c>
      <c r="J106" s="2999" t="s">
        <v>2206</v>
      </c>
      <c r="K106" s="2999" t="s">
        <v>2207</v>
      </c>
      <c r="L106" s="2999" t="s">
        <v>2208</v>
      </c>
      <c r="M106" s="2999" t="s">
        <v>2209</v>
      </c>
      <c r="N106" s="2999" t="s">
        <v>2210</v>
      </c>
    </row>
    <row r="107" spans="1:25">
      <c r="A107" s="3308" t="s">
        <v>2315</v>
      </c>
      <c r="B107" s="2999">
        <v>1</v>
      </c>
      <c r="C107" s="2999">
        <v>1.5206</v>
      </c>
      <c r="D107" s="2999">
        <v>1.5206</v>
      </c>
      <c r="E107" s="2999">
        <v>1.5019</v>
      </c>
      <c r="F107" s="2999">
        <v>1.5019</v>
      </c>
      <c r="G107" s="2999">
        <v>1.5019</v>
      </c>
      <c r="H107" s="2999">
        <v>1.5019</v>
      </c>
      <c r="I107" s="2999">
        <v>1.5019</v>
      </c>
      <c r="J107" s="2999">
        <v>1.5418000000000001</v>
      </c>
      <c r="K107" s="2999">
        <v>1.5418000000000001</v>
      </c>
      <c r="L107" s="2999">
        <v>1.5418000000000001</v>
      </c>
      <c r="M107" s="2999">
        <v>1.5418000000000001</v>
      </c>
      <c r="N107" s="2999">
        <v>1.5418000000000001</v>
      </c>
    </row>
    <row r="108" spans="1:25">
      <c r="A108" s="3309"/>
      <c r="B108" s="2999">
        <v>2</v>
      </c>
      <c r="C108" s="2999">
        <v>1.2072000000000001</v>
      </c>
      <c r="D108" s="2999">
        <v>1.2072000000000001</v>
      </c>
      <c r="E108" s="2999">
        <v>1.1838</v>
      </c>
      <c r="F108" s="2999">
        <v>1.1838</v>
      </c>
      <c r="G108" s="2999">
        <v>1.1838</v>
      </c>
      <c r="H108" s="2999">
        <v>1.1838</v>
      </c>
      <c r="I108" s="2999">
        <v>1.1838</v>
      </c>
      <c r="J108" s="2999">
        <v>1.1883999999999999</v>
      </c>
      <c r="K108" s="2999">
        <v>1.1883999999999999</v>
      </c>
      <c r="L108" s="2999">
        <v>1.1883999999999999</v>
      </c>
      <c r="M108" s="2999">
        <v>1.1883999999999999</v>
      </c>
      <c r="N108" s="2999">
        <v>1.1883999999999999</v>
      </c>
    </row>
    <row r="109" spans="1:25">
      <c r="A109" s="3309"/>
      <c r="B109" s="2999">
        <v>3</v>
      </c>
      <c r="C109" s="2999">
        <v>1.0430999999999999</v>
      </c>
      <c r="D109" s="2999">
        <v>1.0430999999999999</v>
      </c>
      <c r="E109" s="2999">
        <v>1.0004999999999999</v>
      </c>
      <c r="F109" s="2999">
        <v>1.0004999999999999</v>
      </c>
      <c r="G109" s="2999">
        <v>1.0004999999999999</v>
      </c>
      <c r="H109" s="2999">
        <v>1.0004999999999999</v>
      </c>
      <c r="I109" s="2999">
        <v>1.0004999999999999</v>
      </c>
      <c r="J109" s="2999">
        <v>0.96940000000000004</v>
      </c>
      <c r="K109" s="2999">
        <v>0.96940000000000004</v>
      </c>
      <c r="L109" s="2999">
        <v>0.96940000000000004</v>
      </c>
      <c r="M109" s="2999">
        <v>0.96940000000000004</v>
      </c>
      <c r="N109" s="2999">
        <v>0.96940000000000004</v>
      </c>
    </row>
    <row r="110" spans="1:25">
      <c r="A110" s="3309"/>
      <c r="B110" s="2999">
        <v>4</v>
      </c>
      <c r="C110" s="2999">
        <v>0.94389999999999996</v>
      </c>
      <c r="D110" s="2999">
        <v>0.94389999999999996</v>
      </c>
      <c r="E110" s="2999">
        <v>0.88239999999999996</v>
      </c>
      <c r="F110" s="2999">
        <v>0.88239999999999996</v>
      </c>
      <c r="G110" s="2999">
        <v>0.88239999999999996</v>
      </c>
      <c r="H110" s="2999">
        <v>0.88239999999999996</v>
      </c>
      <c r="I110" s="2999">
        <v>0.88239999999999996</v>
      </c>
      <c r="J110" s="2999">
        <v>0.82299999999999995</v>
      </c>
      <c r="K110" s="2999">
        <v>0.82299999999999995</v>
      </c>
      <c r="L110" s="2999">
        <v>0.82299999999999995</v>
      </c>
      <c r="M110" s="2999">
        <v>0.82299999999999995</v>
      </c>
      <c r="N110" s="2999">
        <v>0.82299999999999995</v>
      </c>
    </row>
    <row r="111" spans="1:25">
      <c r="A111" s="3309"/>
      <c r="B111" s="2999">
        <v>5</v>
      </c>
      <c r="C111" s="2999">
        <v>0.89959999999999996</v>
      </c>
      <c r="D111" s="2999">
        <v>0.89959999999999996</v>
      </c>
      <c r="E111" s="2999">
        <v>0.84799999999999998</v>
      </c>
      <c r="F111" s="2999">
        <v>0.84799999999999998</v>
      </c>
      <c r="G111" s="2999">
        <v>0.84799999999999998</v>
      </c>
      <c r="H111" s="2999">
        <v>0.84799999999999998</v>
      </c>
      <c r="I111" s="2999">
        <v>0.84799999999999998</v>
      </c>
      <c r="J111" s="2999">
        <v>0.74980000000000002</v>
      </c>
      <c r="K111" s="2999">
        <v>0.74980000000000002</v>
      </c>
      <c r="L111" s="2999">
        <v>0.74980000000000002</v>
      </c>
      <c r="M111" s="2999">
        <v>0.74980000000000002</v>
      </c>
      <c r="N111" s="2999">
        <v>0.74980000000000002</v>
      </c>
    </row>
    <row r="112" spans="1:25">
      <c r="A112" s="3309"/>
      <c r="B112" s="2999" t="s">
        <v>2716</v>
      </c>
      <c r="C112" s="2482">
        <f>$I$3</f>
        <v>1</v>
      </c>
      <c r="D112" s="2482">
        <f t="shared" ref="D112:M112" si="32">$I$3</f>
        <v>1</v>
      </c>
      <c r="E112" s="2482">
        <f t="shared" si="32"/>
        <v>1</v>
      </c>
      <c r="F112" s="2482">
        <f t="shared" si="32"/>
        <v>1</v>
      </c>
      <c r="G112" s="2482">
        <f t="shared" si="32"/>
        <v>1</v>
      </c>
      <c r="H112" s="2482">
        <f t="shared" si="32"/>
        <v>1</v>
      </c>
      <c r="I112" s="2482">
        <f t="shared" si="32"/>
        <v>1</v>
      </c>
      <c r="J112" s="2482">
        <f t="shared" si="32"/>
        <v>1</v>
      </c>
      <c r="K112" s="2482">
        <f t="shared" si="32"/>
        <v>1</v>
      </c>
      <c r="L112" s="2482">
        <f t="shared" si="32"/>
        <v>1</v>
      </c>
      <c r="M112" s="2482">
        <f t="shared" si="32"/>
        <v>1</v>
      </c>
      <c r="N112" s="2482">
        <f>$I$3</f>
        <v>1</v>
      </c>
    </row>
    <row r="113" spans="1:14">
      <c r="A113" s="3310"/>
      <c r="B113" s="2999">
        <v>6</v>
      </c>
      <c r="C113" s="502">
        <f>(-0.5556*(C112^2)-0.2719*C112+8944)*(10^(-4))</f>
        <v>0.89431725000000006</v>
      </c>
      <c r="D113" s="502">
        <f>(-0.5556*(D112^2)-0.2719*D112+8944)*(10^(-4))</f>
        <v>0.89431725000000006</v>
      </c>
      <c r="E113" s="502">
        <f>(-0.7912*(E112^2)-11.3794*E112+8482)*(10^(-4))</f>
        <v>0.84698294000000007</v>
      </c>
      <c r="F113" s="502">
        <f t="shared" ref="F113:I113" si="33">(-0.7912*(F112^2)-11.3794*F112+8482)*(10^(-4))</f>
        <v>0.84698294000000007</v>
      </c>
      <c r="G113" s="502">
        <f t="shared" si="33"/>
        <v>0.84698294000000007</v>
      </c>
      <c r="H113" s="502">
        <f t="shared" si="33"/>
        <v>0.84698294000000007</v>
      </c>
      <c r="I113" s="502">
        <f t="shared" si="33"/>
        <v>0.84698294000000007</v>
      </c>
      <c r="J113" s="502">
        <f>(-0.989*(J112^2)-63.78*J112+7771)*(10^(-4))</f>
        <v>0.77062310000000001</v>
      </c>
      <c r="K113" s="502">
        <f t="shared" ref="K113:N113" si="34">(-0.989*(K112^2)-63.78*K112+7771)*(10^(-4))</f>
        <v>0.77062310000000001</v>
      </c>
      <c r="L113" s="502">
        <f t="shared" si="34"/>
        <v>0.77062310000000001</v>
      </c>
      <c r="M113" s="502">
        <f t="shared" si="34"/>
        <v>0.77062310000000001</v>
      </c>
      <c r="N113" s="502">
        <f t="shared" si="34"/>
        <v>0.77062310000000001</v>
      </c>
    </row>
    <row r="114" spans="1:14">
      <c r="A114" s="3311" t="s">
        <v>2316</v>
      </c>
      <c r="B114" s="3311"/>
      <c r="C114" s="3311"/>
      <c r="D114" s="3311"/>
      <c r="E114" s="3311"/>
      <c r="F114" s="3311"/>
      <c r="G114" s="3311"/>
      <c r="H114" s="3311"/>
      <c r="I114" s="3311"/>
      <c r="J114" s="3311"/>
      <c r="K114" s="2998"/>
      <c r="L114" s="2998"/>
      <c r="M114" s="2998"/>
      <c r="N114" s="2998"/>
    </row>
    <row r="116" spans="1:14" ht="13.5" thickBot="1"/>
    <row r="117" spans="1:14" ht="25.5" thickBot="1">
      <c r="A117" s="2382" t="s">
        <v>2317</v>
      </c>
      <c r="B117" s="2484">
        <f>G3</f>
        <v>1.6</v>
      </c>
      <c r="C117" s="2365" t="s">
        <v>2318</v>
      </c>
      <c r="D117" s="500">
        <f>SUMPRODUCT((A119:A123=F117)*(B118:M118=H117)*B119:M123)</f>
        <v>0.63239999999999996</v>
      </c>
      <c r="E117" s="473" t="s">
        <v>2173</v>
      </c>
      <c r="F117" s="501" t="str">
        <f>E2</f>
        <v>工业</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0.97919999999999996</v>
      </c>
      <c r="C119" s="502">
        <f>B119</f>
        <v>0.97919999999999996</v>
      </c>
      <c r="D119" s="502">
        <f>ROUND(0.949-0.014*B117,4)</f>
        <v>0.92659999999999998</v>
      </c>
      <c r="E119" s="502">
        <f>D119</f>
        <v>0.92659999999999998</v>
      </c>
      <c r="F119" s="502">
        <f>E119</f>
        <v>0.92659999999999998</v>
      </c>
      <c r="G119" s="502">
        <f>F119</f>
        <v>0.92659999999999998</v>
      </c>
      <c r="H119" s="502">
        <f>G119</f>
        <v>0.92659999999999998</v>
      </c>
      <c r="I119" s="502">
        <f>ROUND(0.8486-0.018*B117,4)</f>
        <v>0.81979999999999997</v>
      </c>
      <c r="J119" s="502">
        <f t="shared" ref="J119:M123" si="35">I119</f>
        <v>0.81979999999999997</v>
      </c>
      <c r="K119" s="502">
        <f t="shared" si="35"/>
        <v>0.81979999999999997</v>
      </c>
      <c r="L119" s="502">
        <f t="shared" si="35"/>
        <v>0.81979999999999997</v>
      </c>
      <c r="M119" s="504">
        <f t="shared" si="35"/>
        <v>0.81979999999999997</v>
      </c>
    </row>
    <row r="120" spans="1:14">
      <c r="A120" s="2413" t="s">
        <v>2230</v>
      </c>
      <c r="B120" s="502">
        <f>ROUND(0.993-0.0112*B117,4)</f>
        <v>0.97509999999999997</v>
      </c>
      <c r="C120" s="502">
        <f>B120</f>
        <v>0.97509999999999997</v>
      </c>
      <c r="D120" s="502">
        <f>ROUND(0.9415-0.0142*B117,4)</f>
        <v>0.91879999999999995</v>
      </c>
      <c r="E120" s="502">
        <f t="shared" ref="E120:H121" si="36">D120</f>
        <v>0.91879999999999995</v>
      </c>
      <c r="F120" s="502">
        <f t="shared" si="36"/>
        <v>0.91879999999999995</v>
      </c>
      <c r="G120" s="502">
        <f t="shared" si="36"/>
        <v>0.91879999999999995</v>
      </c>
      <c r="H120" s="502">
        <f t="shared" si="36"/>
        <v>0.91879999999999995</v>
      </c>
      <c r="I120" s="502">
        <f>ROUND(0.838-0.0182*B117,4)</f>
        <v>0.80889999999999995</v>
      </c>
      <c r="J120" s="502">
        <f t="shared" si="35"/>
        <v>0.80889999999999995</v>
      </c>
      <c r="K120" s="502">
        <f t="shared" si="35"/>
        <v>0.80889999999999995</v>
      </c>
      <c r="L120" s="502">
        <f t="shared" si="35"/>
        <v>0.80889999999999995</v>
      </c>
      <c r="M120" s="504">
        <f t="shared" si="35"/>
        <v>0.80889999999999995</v>
      </c>
    </row>
    <row r="121" spans="1:14">
      <c r="A121" s="2413" t="s">
        <v>2231</v>
      </c>
      <c r="B121" s="502">
        <f>ROUND(0.9448-0.0115*B117,4)</f>
        <v>0.9264</v>
      </c>
      <c r="C121" s="502">
        <f>B121</f>
        <v>0.9264</v>
      </c>
      <c r="D121" s="502">
        <f>ROUND(0.937-0.0145*B117,4)</f>
        <v>0.91379999999999995</v>
      </c>
      <c r="E121" s="502">
        <f t="shared" si="36"/>
        <v>0.91379999999999995</v>
      </c>
      <c r="F121" s="502">
        <f t="shared" si="36"/>
        <v>0.91379999999999995</v>
      </c>
      <c r="G121" s="502">
        <f t="shared" si="36"/>
        <v>0.91379999999999995</v>
      </c>
      <c r="H121" s="502">
        <f t="shared" si="36"/>
        <v>0.91379999999999995</v>
      </c>
      <c r="I121" s="502">
        <f>ROUND(0.7965-0.0185*B117,4)</f>
        <v>0.76690000000000003</v>
      </c>
      <c r="J121" s="502">
        <f t="shared" si="35"/>
        <v>0.76690000000000003</v>
      </c>
      <c r="K121" s="502">
        <f t="shared" si="35"/>
        <v>0.76690000000000003</v>
      </c>
      <c r="L121" s="502">
        <f t="shared" si="35"/>
        <v>0.76690000000000003</v>
      </c>
      <c r="M121" s="504">
        <f t="shared" si="35"/>
        <v>0.76690000000000003</v>
      </c>
    </row>
    <row r="122" spans="1:14" ht="13.5" thickBot="1">
      <c r="A122" s="2417" t="s">
        <v>2232</v>
      </c>
      <c r="B122" s="503">
        <f>ROUND(0.7836-0.012*B117,4)</f>
        <v>0.76439999999999997</v>
      </c>
      <c r="C122" s="503">
        <f>B122</f>
        <v>0.76439999999999997</v>
      </c>
      <c r="D122" s="503">
        <f>ROUND(0.753-0.015*B117,4)</f>
        <v>0.72899999999999998</v>
      </c>
      <c r="E122" s="503">
        <f>D122</f>
        <v>0.72899999999999998</v>
      </c>
      <c r="F122" s="503">
        <f>E122</f>
        <v>0.72899999999999998</v>
      </c>
      <c r="G122" s="503">
        <f>ROUND(0.6612-0.018*B117,4)</f>
        <v>0.63239999999999996</v>
      </c>
      <c r="H122" s="503">
        <f>G122</f>
        <v>0.63239999999999996</v>
      </c>
      <c r="I122" s="503">
        <f>ROUND(0.5905-0.019*B117,4)</f>
        <v>0.56010000000000004</v>
      </c>
      <c r="J122" s="503">
        <f t="shared" si="35"/>
        <v>0.56010000000000004</v>
      </c>
      <c r="K122" s="503">
        <f t="shared" si="35"/>
        <v>0.56010000000000004</v>
      </c>
      <c r="L122" s="503">
        <f t="shared" si="35"/>
        <v>0.56010000000000004</v>
      </c>
      <c r="M122" s="505">
        <f t="shared" si="35"/>
        <v>0.56010000000000004</v>
      </c>
    </row>
    <row r="123" spans="1:14">
      <c r="A123" s="2492" t="s">
        <v>2702</v>
      </c>
      <c r="B123" s="502">
        <f>ROUND(0.9404-0.0106*B117,4)</f>
        <v>0.9234</v>
      </c>
      <c r="C123" s="502">
        <f>B123</f>
        <v>0.9234</v>
      </c>
      <c r="D123" s="502">
        <f>ROUND(0.8955-0.0135*B117,4)</f>
        <v>0.87390000000000001</v>
      </c>
      <c r="E123" s="502">
        <f t="shared" ref="E123:H123" si="37">D123</f>
        <v>0.87390000000000001</v>
      </c>
      <c r="F123" s="502">
        <f t="shared" si="37"/>
        <v>0.87390000000000001</v>
      </c>
      <c r="G123" s="502">
        <f t="shared" si="37"/>
        <v>0.87390000000000001</v>
      </c>
      <c r="H123" s="502">
        <f t="shared" si="37"/>
        <v>0.87390000000000001</v>
      </c>
      <c r="I123" s="502">
        <f>ROUND(0.7632-0.0166*B117,4)</f>
        <v>0.73660000000000003</v>
      </c>
      <c r="J123" s="502">
        <f t="shared" si="35"/>
        <v>0.73660000000000003</v>
      </c>
      <c r="K123" s="502">
        <f t="shared" si="35"/>
        <v>0.73660000000000003</v>
      </c>
      <c r="L123" s="502">
        <f t="shared" si="35"/>
        <v>0.73660000000000003</v>
      </c>
      <c r="M123" s="504">
        <f t="shared" si="35"/>
        <v>0.73660000000000003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H51:H59 H62:H70 H73:H81 H84:H91">
    <cfRule type="cellIs" dxfId="17" priority="3" operator="notEqual">
      <formula>"——"</formula>
    </cfRule>
  </conditionalFormatting>
  <conditionalFormatting sqref="F94">
    <cfRule type="cellIs" dxfId="16" priority="2" stopIfTrue="1" operator="notEqual">
      <formula>"——"</formula>
    </cfRule>
  </conditionalFormatting>
  <conditionalFormatting sqref="H94:H103">
    <cfRule type="cellIs" dxfId="15" priority="1" operator="notEqual">
      <formula>"——"</formula>
    </cfRule>
  </conditionalFormatting>
  <dataValidations count="12">
    <dataValidation type="list" allowBlank="1" showInputMessage="1" showErrorMessage="1" sqref="J23" xr:uid="{9DCD62C7-3A08-4DFB-A459-12F40589EF06}">
      <formula1>"不用分区数据,中心城区,中心城区以外"</formula1>
    </dataValidation>
    <dataValidation type="list" allowBlank="1" showInputMessage="1" showErrorMessage="1" sqref="H20:O20" xr:uid="{3F69355C-BD0E-4BA9-9CCA-CFD4B29F1CBF}">
      <formula1>七通一平</formula1>
    </dataValidation>
    <dataValidation type="list" allowBlank="1" showInputMessage="1" showErrorMessage="1" sqref="H23" xr:uid="{EF2F00BC-2F3C-4026-A8EE-04ABCF923667}">
      <formula1>"地价指数,季度增幅（自定义）,按公示增长率计算"</formula1>
    </dataValidation>
    <dataValidation type="list" allowBlank="1" showInputMessage="1" showErrorMessage="1" sqref="C84:C91 C73:C81 C51:C59 C62:C70 C94:C103" xr:uid="{98EAEDDC-E918-4549-9EEE-785BAF437E29}">
      <formula1>五等判定</formula1>
    </dataValidation>
    <dataValidation type="list" allowBlank="1" showInputMessage="1" showErrorMessage="1" sqref="E3" xr:uid="{51A86CDD-76AF-47AF-BB90-A07F995D0C9D}">
      <formula1>二级分类</formula1>
    </dataValidation>
    <dataValidation type="list" allowBlank="1" showInputMessage="1" showErrorMessage="1" sqref="C8" xr:uid="{D1FDFD48-5C6C-44BE-A8E6-5BA9B28D666A}">
      <formula1>商业街名称</formula1>
    </dataValidation>
    <dataValidation type="list" allowBlank="1" showInputMessage="1" showErrorMessage="1" sqref="F3" xr:uid="{4D82B5E6-63C7-400A-AAD2-83033AEA3B3E}">
      <formula1>"宗地容积率,估价对象容积率,自定义容积率"</formula1>
    </dataValidation>
    <dataValidation type="list" allowBlank="1" showInputMessage="1" showErrorMessage="1" sqref="E2" xr:uid="{2EB5CFA8-549F-45B9-B2E8-9EC8A368DC2A}">
      <formula1>"商业,办公,住宅,工业,公共服务"</formula1>
    </dataValidation>
    <dataValidation type="list" allowBlank="1" showInputMessage="1" showErrorMessage="1" sqref="F21" xr:uid="{020AA459-34ED-42CA-8B94-7A7048FC4B0D}">
      <formula1>"与级别开发程度一致,与级别开发程度不一致"</formula1>
    </dataValidation>
    <dataValidation type="list" allowBlank="1" showInputMessage="1" showErrorMessage="1" sqref="B25" xr:uid="{60664D49-D6CE-4E6A-B8FC-CEFE892237F9}">
      <formula1>"容积率修正,楼层修正"</formula1>
    </dataValidation>
    <dataValidation type="list" allowBlank="1" showInputMessage="1" showErrorMessage="1" sqref="C15:D15" xr:uid="{3DF5756C-5213-48F2-9739-ED3D3612F209}">
      <formula1>"有,无"</formula1>
    </dataValidation>
    <dataValidation type="list" allowBlank="1" showInputMessage="1" showErrorMessage="1" sqref="E15" xr:uid="{B31D514B-7C73-463F-81B6-403F0AE8C1EB}">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13" zoomScale="90" zoomScaleNormal="80" zoomScaleSheetLayoutView="90" workbookViewId="0">
      <selection activeCell="F26" sqref="F26"/>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15973</v>
      </c>
      <c r="C2" s="2266" t="s">
        <v>2172</v>
      </c>
      <c r="D2" s="473" t="s">
        <v>2173</v>
      </c>
      <c r="E2" s="2267" t="s">
        <v>886</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Ⅵ-顺2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15973</v>
      </c>
      <c r="U2" s="2269">
        <v>10000</v>
      </c>
      <c r="V2" s="477">
        <f>ROUND(T2*U2/10000,0)</f>
        <v>15973</v>
      </c>
      <c r="W2" s="2262"/>
      <c r="X2" s="2262"/>
      <c r="Y2" s="2262"/>
      <c r="Z2" s="2262"/>
      <c r="AA2" s="2262"/>
      <c r="AB2" s="2262"/>
      <c r="AC2" s="2262"/>
      <c r="AD2" s="2263"/>
      <c r="AE2" s="2263"/>
      <c r="AF2" s="2263"/>
      <c r="AG2" s="2263"/>
      <c r="AH2" s="2263"/>
      <c r="AI2" s="2263"/>
      <c r="AJ2" s="2264"/>
    </row>
    <row r="3" spans="1:36" ht="15.75">
      <c r="A3" s="2265" t="s">
        <v>2177</v>
      </c>
      <c r="B3" s="2265">
        <f>ROUND(B2*10000/D1,0)</f>
        <v>15973</v>
      </c>
      <c r="C3" s="2266" t="s">
        <v>2178</v>
      </c>
      <c r="D3" s="473" t="s">
        <v>2179</v>
      </c>
      <c r="E3" s="2267" t="s">
        <v>2823</v>
      </c>
      <c r="F3" s="2270" t="s">
        <v>3100</v>
      </c>
      <c r="G3" s="2271">
        <f>'数据-汇总表'!I3</f>
        <v>1.6</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12590</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98"/>
      <c r="B4" s="3299"/>
      <c r="C4" s="3299"/>
      <c r="D4" s="3300"/>
      <c r="E4" s="3300"/>
      <c r="F4" s="3300"/>
      <c r="G4" s="3300"/>
      <c r="H4" s="3300"/>
      <c r="I4" s="3300"/>
      <c r="J4" s="330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10641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10430</v>
      </c>
      <c r="D5" s="2274">
        <f>ROUND(C6*C17+C20,0)</f>
        <v>10430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9385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10430</v>
      </c>
      <c r="D6" s="2285" t="s">
        <v>2188</v>
      </c>
      <c r="E6" s="2284"/>
      <c r="F6" s="2284"/>
      <c r="G6" s="2286"/>
      <c r="H6" s="2286"/>
      <c r="I6" s="2286"/>
      <c r="J6" s="2287"/>
      <c r="K6" s="1414"/>
      <c r="L6" s="2268" t="s">
        <v>2189</v>
      </c>
      <c r="M6" s="475">
        <f>SUMPRODUCT((区片价!B127:B189=I2)*(区片价!C3:G3=E2)*(区片价!C127:G189))</f>
        <v>10430</v>
      </c>
      <c r="N6" s="473">
        <f>SUMPRODUCT((因素修正幅度!B127:B189=I2)*(因素修正幅度!C3:G3=E2)*(因素修正幅度!C127:G189))</f>
        <v>0.1</v>
      </c>
      <c r="O6" s="2259"/>
      <c r="P6" s="2259"/>
      <c r="Q6" s="2259"/>
      <c r="R6" s="477">
        <v>5</v>
      </c>
      <c r="S6" s="477">
        <f>ROUND(SUMPRODUCT((B107:B111=R6)*(C106:N106=G2)*(C107:N111)),4)</f>
        <v>0.84799999999999998</v>
      </c>
      <c r="T6" s="477">
        <f t="shared" si="0"/>
        <v>9019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1.6</v>
      </c>
      <c r="AA7" s="2262"/>
      <c r="AB7" s="2262"/>
      <c r="AC7" s="2262"/>
      <c r="AD7" s="2263"/>
      <c r="AE7" s="2263"/>
      <c r="AF7" s="2263"/>
      <c r="AG7" s="2263"/>
      <c r="AH7" s="2263"/>
      <c r="AI7" s="2263"/>
      <c r="AJ7" s="2264"/>
    </row>
    <row r="8" spans="1:36" ht="25.5">
      <c r="A8" s="2294"/>
      <c r="B8" s="473" t="s">
        <v>2195</v>
      </c>
      <c r="C8" s="2267" t="s">
        <v>3101</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302" t="s">
        <v>2198</v>
      </c>
      <c r="X8" s="330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30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30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304" t="s">
        <v>2237</v>
      </c>
      <c r="E20" s="3305"/>
      <c r="F20" s="3304" t="s">
        <v>2234</v>
      </c>
      <c r="G20" s="3305"/>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3102</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44826</v>
      </c>
      <c r="H23" s="2361" t="s">
        <v>3103</v>
      </c>
      <c r="I23" s="2360" t="str">
        <f>IF(H23="季度增幅（自定义）",SUMIF(N25:N28,E2,O25:O28),"")</f>
        <v/>
      </c>
      <c r="J23" s="2982" t="s">
        <v>3091</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367">
        <f>项目基本情况!E15</f>
        <v>40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3108</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1.0924</v>
      </c>
      <c r="E26" s="493">
        <f>ROUNDDOWN(G3,1)</f>
        <v>1.6</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493">
        <f>ROUNDUP(G3,1)</f>
        <v>1.6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15973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3993</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15973</v>
      </c>
      <c r="D33" s="2420">
        <v>10000</v>
      </c>
      <c r="E33" s="2421">
        <f>ROUND(C33*D33/10000,0)</f>
        <v>15973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5" customHeight="1" thickBot="1">
      <c r="A34" s="2349"/>
      <c r="B34" s="485" t="s">
        <v>2270</v>
      </c>
      <c r="C34" s="497" t="e">
        <f>ROUND(IF(E2="工业",C33*M42,IF(B25="楼层修正",SUM(V2:V16)*M41*10000/D34,C33*M41)),0)</f>
        <v>#DIV/0!</v>
      </c>
      <c r="D34" s="2427"/>
      <c r="E34" s="2421">
        <f>ROUND(IF(B25="楼层修正",SUM(V2:V16)*M41,C34*D34/10000),0)</f>
        <v>3993</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95"/>
      <c r="B37" s="2439" t="s">
        <v>2275</v>
      </c>
      <c r="C37" s="495">
        <f>ROUND(D5*C22*C23*C24*C28*F37,0)</f>
        <v>6381</v>
      </c>
      <c r="D37" s="2420"/>
      <c r="E37" s="473">
        <f>ROUND(C37*D37/10000,0)</f>
        <v>0</v>
      </c>
      <c r="F37" s="473">
        <f>SUMIF(修正!A57:A68,G2,修正!B57:B68)</f>
        <v>0.6</v>
      </c>
      <c r="G37" s="473">
        <f>ROUND(IF(E2="工业",C37*$M$42,C37*$M$41),0)</f>
        <v>1595</v>
      </c>
      <c r="H37" s="473">
        <f>D37</f>
        <v>0</v>
      </c>
      <c r="I37" s="473">
        <f>ROUND(G37*H37/10000,0)</f>
        <v>0</v>
      </c>
      <c r="J37" s="329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96"/>
      <c r="B38" s="2321" t="s">
        <v>2276</v>
      </c>
      <c r="C38" s="495">
        <f>ROUND(D5*C22*C23*C24*C28*F38,0)</f>
        <v>3191</v>
      </c>
      <c r="D38" s="2420"/>
      <c r="E38" s="473">
        <f t="shared" ref="E38:E42" si="4">ROUND(C38*D38/10000,0)</f>
        <v>0</v>
      </c>
      <c r="F38" s="473">
        <f>SUMIF(修正!A57:A68,G2,修正!C57:C68)</f>
        <v>0.3</v>
      </c>
      <c r="G38" s="473">
        <f>ROUND(IF(E2="工业",C38*$M$42,C38*$M$41),0)</f>
        <v>798</v>
      </c>
      <c r="H38" s="473">
        <f t="shared" ref="H38:H42" si="5">D38</f>
        <v>0</v>
      </c>
      <c r="I38" s="473">
        <f t="shared" ref="I38:I42" si="6">ROUND(G38*H38/10000,0)</f>
        <v>0</v>
      </c>
      <c r="J38" s="329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96"/>
      <c r="B39" s="2321" t="s">
        <v>2940</v>
      </c>
      <c r="C39" s="495">
        <f>ROUND(D5*C22*C23*C24*C28*F39,0)</f>
        <v>2659</v>
      </c>
      <c r="D39" s="2420"/>
      <c r="E39" s="473">
        <f t="shared" si="4"/>
        <v>0</v>
      </c>
      <c r="F39" s="473">
        <f>SUMIF(修正!A57:A68,G2,修正!D57:D68)</f>
        <v>0.25</v>
      </c>
      <c r="G39" s="473">
        <f>ROUND(IF(E2="工业",C39*$M$42,C39*$M$41),0)</f>
        <v>665</v>
      </c>
      <c r="H39" s="473">
        <f t="shared" si="5"/>
        <v>0</v>
      </c>
      <c r="I39" s="473">
        <f t="shared" si="6"/>
        <v>0</v>
      </c>
      <c r="J39" s="329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2659</v>
      </c>
      <c r="D40" s="2420"/>
      <c r="E40" s="473">
        <f t="shared" si="4"/>
        <v>0</v>
      </c>
      <c r="F40" s="495">
        <f>SUMIF(修正!A57:A68,G2,修正!E57:E68)</f>
        <v>0.25</v>
      </c>
      <c r="G40" s="473">
        <f>ROUND(IF(E2="工业",C40*$M$42,C40*$M$41),0)</f>
        <v>665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f>IF(E2="商业",SUMIF(L1:L12,G2,N1:N12),"——")</f>
        <v>0.1</v>
      </c>
      <c r="G51" s="2459"/>
      <c r="H51" s="2460">
        <f t="shared" ref="H51:H59" si="8">IFERROR(ROUNDDOWN($F$51*I51/2,4),"——")</f>
        <v>1.4999999999999999E-2</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f t="shared" si="8"/>
        <v>1.0999999999999999E-2</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f t="shared" si="8"/>
        <v>6.0000000000000001E-3</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f t="shared" si="8"/>
        <v>2.5000000000000001E-3</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f t="shared" si="8"/>
        <v>4.0000000000000001E-3</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f t="shared" si="8"/>
        <v>2.5000000000000001E-3</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f t="shared" si="8"/>
        <v>2.5000000000000001E-3</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f t="shared" si="8"/>
        <v>4.0000000000000001E-3</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f t="shared" si="8"/>
        <v>2.5000000000000001E-3</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306" t="s">
        <v>2311</v>
      </c>
      <c r="B104" s="3306"/>
      <c r="C104" s="3306"/>
      <c r="D104" s="3306"/>
      <c r="E104" s="3306"/>
      <c r="F104" s="3306"/>
      <c r="G104" s="3306"/>
      <c r="H104" s="3306"/>
      <c r="I104" s="3306"/>
      <c r="J104" s="3306"/>
      <c r="K104" s="2479"/>
      <c r="L104" s="2479"/>
      <c r="M104" s="2479"/>
      <c r="N104" s="2479"/>
    </row>
    <row r="105" spans="1:25">
      <c r="A105" s="3307" t="s">
        <v>2312</v>
      </c>
      <c r="B105" s="3307" t="s">
        <v>2313</v>
      </c>
      <c r="C105" s="2422" t="s">
        <v>2314</v>
      </c>
      <c r="D105" s="2423"/>
      <c r="E105" s="2423"/>
      <c r="F105" s="2423"/>
      <c r="G105" s="2423"/>
      <c r="H105" s="2423"/>
      <c r="I105" s="2423"/>
      <c r="J105" s="2480"/>
      <c r="K105" s="2481"/>
      <c r="L105" s="2481"/>
      <c r="M105" s="2481"/>
      <c r="N105" s="2481"/>
    </row>
    <row r="106" spans="1:25">
      <c r="A106" s="3307"/>
      <c r="B106" s="3307"/>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30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30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30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30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30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309"/>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310"/>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311" t="s">
        <v>2316</v>
      </c>
      <c r="B114" s="3311"/>
      <c r="C114" s="3311"/>
      <c r="D114" s="3311"/>
      <c r="E114" s="3311"/>
      <c r="F114" s="3311"/>
      <c r="G114" s="3311"/>
      <c r="H114" s="3311"/>
      <c r="I114" s="3311"/>
      <c r="J114" s="3311"/>
      <c r="K114" s="2483"/>
      <c r="L114" s="2483"/>
      <c r="M114" s="2483"/>
      <c r="N114" s="2483"/>
    </row>
    <row r="116" spans="1:14" ht="13.5" thickBot="1"/>
    <row r="117" spans="1:14" ht="25.5" thickBot="1">
      <c r="A117" s="2382" t="s">
        <v>2317</v>
      </c>
      <c r="B117" s="2484">
        <f>G3</f>
        <v>1.6</v>
      </c>
      <c r="C117" s="2365" t="s">
        <v>2318</v>
      </c>
      <c r="D117" s="500">
        <f>SUMPRODUCT((A119:A123=F117)*(B118:M118=H117)*B119:M123)</f>
        <v>0.92659999999999998</v>
      </c>
      <c r="E117" s="473" t="s">
        <v>2173</v>
      </c>
      <c r="F117" s="501" t="str">
        <f>E2</f>
        <v>商业</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0.97919999999999996</v>
      </c>
      <c r="C119" s="502">
        <f>B119</f>
        <v>0.97919999999999996</v>
      </c>
      <c r="D119" s="502">
        <f>ROUND(0.949-0.014*B117,4)</f>
        <v>0.92659999999999998</v>
      </c>
      <c r="E119" s="502">
        <f>D119</f>
        <v>0.92659999999999998</v>
      </c>
      <c r="F119" s="502">
        <f>E119</f>
        <v>0.92659999999999998</v>
      </c>
      <c r="G119" s="502">
        <f>F119</f>
        <v>0.92659999999999998</v>
      </c>
      <c r="H119" s="502">
        <f>G119</f>
        <v>0.92659999999999998</v>
      </c>
      <c r="I119" s="502">
        <f>ROUND(0.8486-0.018*B117,4)</f>
        <v>0.81979999999999997</v>
      </c>
      <c r="J119" s="502">
        <f t="shared" ref="J119:M122" si="36">I119</f>
        <v>0.81979999999999997</v>
      </c>
      <c r="K119" s="502">
        <f t="shared" si="36"/>
        <v>0.81979999999999997</v>
      </c>
      <c r="L119" s="502">
        <f t="shared" si="36"/>
        <v>0.81979999999999997</v>
      </c>
      <c r="M119" s="504">
        <f t="shared" si="36"/>
        <v>0.81979999999999997</v>
      </c>
    </row>
    <row r="120" spans="1:14">
      <c r="A120" s="2413" t="s">
        <v>2230</v>
      </c>
      <c r="B120" s="502">
        <f>ROUND(0.993-0.0112*B117,4)</f>
        <v>0.97509999999999997</v>
      </c>
      <c r="C120" s="502">
        <f>B120</f>
        <v>0.97509999999999997</v>
      </c>
      <c r="D120" s="502">
        <f>ROUND(0.9415-0.0142*B117,4)</f>
        <v>0.91879999999999995</v>
      </c>
      <c r="E120" s="502">
        <f t="shared" ref="E120:H121" si="37">D120</f>
        <v>0.91879999999999995</v>
      </c>
      <c r="F120" s="502">
        <f t="shared" si="37"/>
        <v>0.91879999999999995</v>
      </c>
      <c r="G120" s="502">
        <f t="shared" si="37"/>
        <v>0.91879999999999995</v>
      </c>
      <c r="H120" s="502">
        <f t="shared" si="37"/>
        <v>0.91879999999999995</v>
      </c>
      <c r="I120" s="502">
        <f>ROUND(0.838-0.0182*B117,4)</f>
        <v>0.80889999999999995</v>
      </c>
      <c r="J120" s="502">
        <f t="shared" si="36"/>
        <v>0.80889999999999995</v>
      </c>
      <c r="K120" s="502">
        <f t="shared" si="36"/>
        <v>0.80889999999999995</v>
      </c>
      <c r="L120" s="502">
        <f t="shared" si="36"/>
        <v>0.80889999999999995</v>
      </c>
      <c r="M120" s="504">
        <f t="shared" si="36"/>
        <v>0.80889999999999995</v>
      </c>
    </row>
    <row r="121" spans="1:14">
      <c r="A121" s="2413" t="s">
        <v>2231</v>
      </c>
      <c r="B121" s="502">
        <f>ROUND(0.9448-0.0115*B117,4)</f>
        <v>0.9264</v>
      </c>
      <c r="C121" s="502">
        <f>B121</f>
        <v>0.9264</v>
      </c>
      <c r="D121" s="502">
        <f>ROUND(0.937-0.0145*B117,4)</f>
        <v>0.91379999999999995</v>
      </c>
      <c r="E121" s="502">
        <f t="shared" si="37"/>
        <v>0.91379999999999995</v>
      </c>
      <c r="F121" s="502">
        <f t="shared" si="37"/>
        <v>0.91379999999999995</v>
      </c>
      <c r="G121" s="502">
        <f t="shared" si="37"/>
        <v>0.91379999999999995</v>
      </c>
      <c r="H121" s="502">
        <f t="shared" si="37"/>
        <v>0.91379999999999995</v>
      </c>
      <c r="I121" s="502">
        <f>ROUND(0.7965-0.0185*B117,4)</f>
        <v>0.76690000000000003</v>
      </c>
      <c r="J121" s="502">
        <f t="shared" si="36"/>
        <v>0.76690000000000003</v>
      </c>
      <c r="K121" s="502">
        <f t="shared" si="36"/>
        <v>0.76690000000000003</v>
      </c>
      <c r="L121" s="502">
        <f t="shared" si="36"/>
        <v>0.76690000000000003</v>
      </c>
      <c r="M121" s="504">
        <f t="shared" si="36"/>
        <v>0.76690000000000003</v>
      </c>
    </row>
    <row r="122" spans="1:14" ht="13.5" thickBot="1">
      <c r="A122" s="2417" t="s">
        <v>2232</v>
      </c>
      <c r="B122" s="503">
        <f>ROUND(0.7836-0.012*B117,4)</f>
        <v>0.76439999999999997</v>
      </c>
      <c r="C122" s="503">
        <f>B122</f>
        <v>0.76439999999999997</v>
      </c>
      <c r="D122" s="503">
        <f>ROUND(0.753-0.015*B117,4)</f>
        <v>0.72899999999999998</v>
      </c>
      <c r="E122" s="503">
        <f>D122</f>
        <v>0.72899999999999998</v>
      </c>
      <c r="F122" s="503">
        <f>E122</f>
        <v>0.72899999999999998</v>
      </c>
      <c r="G122" s="503">
        <f>ROUND(0.6612-0.018*B117,4)</f>
        <v>0.63239999999999996</v>
      </c>
      <c r="H122" s="503">
        <f>G122</f>
        <v>0.63239999999999996</v>
      </c>
      <c r="I122" s="503">
        <f>ROUND(0.5905-0.019*B117,4)</f>
        <v>0.56010000000000004</v>
      </c>
      <c r="J122" s="503">
        <f t="shared" si="36"/>
        <v>0.56010000000000004</v>
      </c>
      <c r="K122" s="503">
        <f t="shared" si="36"/>
        <v>0.56010000000000004</v>
      </c>
      <c r="L122" s="503">
        <f t="shared" si="36"/>
        <v>0.56010000000000004</v>
      </c>
      <c r="M122" s="505">
        <f t="shared" si="36"/>
        <v>0.56010000000000004</v>
      </c>
    </row>
    <row r="123" spans="1:14">
      <c r="A123" s="2492" t="s">
        <v>2901</v>
      </c>
      <c r="B123" s="502">
        <f>ROUND(0.9404-0.0106*B117,4)</f>
        <v>0.9234</v>
      </c>
      <c r="C123" s="502">
        <f>B123</f>
        <v>0.9234</v>
      </c>
      <c r="D123" s="502">
        <f>ROUND(0.8955-0.0135*B117,4)</f>
        <v>0.87390000000000001</v>
      </c>
      <c r="E123" s="502">
        <f t="shared" ref="E123" si="38">D123</f>
        <v>0.87390000000000001</v>
      </c>
      <c r="F123" s="502">
        <f t="shared" ref="F123" si="39">E123</f>
        <v>0.87390000000000001</v>
      </c>
      <c r="G123" s="502">
        <f t="shared" ref="G123" si="40">F123</f>
        <v>0.87390000000000001</v>
      </c>
      <c r="H123" s="502">
        <f t="shared" ref="H123" si="41">G123</f>
        <v>0.87390000000000001</v>
      </c>
      <c r="I123" s="502">
        <f>ROUND(0.7632-0.0166*B117,4)</f>
        <v>0.73660000000000003</v>
      </c>
      <c r="J123" s="502">
        <f t="shared" ref="J123" si="42">I123</f>
        <v>0.73660000000000003</v>
      </c>
      <c r="K123" s="502">
        <f t="shared" ref="K123" si="43">J123</f>
        <v>0.73660000000000003</v>
      </c>
      <c r="L123" s="502">
        <f t="shared" ref="L123" si="44">K123</f>
        <v>0.73660000000000003</v>
      </c>
      <c r="M123" s="504">
        <f t="shared" ref="M123" si="45">L123</f>
        <v>0.73660000000000003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312" t="s">
        <v>156</v>
      </c>
      <c r="B20" s="3322" t="s">
        <v>2893</v>
      </c>
      <c r="C20" s="2522" t="s">
        <v>2823</v>
      </c>
      <c r="D20" s="2523"/>
      <c r="E20" s="513">
        <v>1</v>
      </c>
      <c r="F20" s="2524" t="s">
        <v>2829</v>
      </c>
      <c r="G20" s="2524"/>
    </row>
    <row r="21" spans="1:13">
      <c r="A21" s="3313"/>
      <c r="B21" s="3317"/>
      <c r="C21" s="2525" t="s">
        <v>2824</v>
      </c>
      <c r="D21" s="2526"/>
      <c r="E21" s="514">
        <v>1</v>
      </c>
      <c r="F21" s="2524" t="s">
        <v>2830</v>
      </c>
      <c r="G21" s="2524"/>
    </row>
    <row r="22" spans="1:13">
      <c r="A22" s="3313"/>
      <c r="B22" s="3317"/>
      <c r="C22" s="2525" t="s">
        <v>2825</v>
      </c>
      <c r="D22" s="2526"/>
      <c r="E22" s="514">
        <v>0.9</v>
      </c>
      <c r="F22" s="2524" t="s">
        <v>2831</v>
      </c>
      <c r="G22" s="2524"/>
    </row>
    <row r="23" spans="1:13">
      <c r="A23" s="3313"/>
      <c r="B23" s="3317"/>
      <c r="C23" s="2525" t="s">
        <v>2826</v>
      </c>
      <c r="D23" s="2526"/>
      <c r="E23" s="514">
        <v>0.9</v>
      </c>
      <c r="F23" s="2524" t="s">
        <v>2832</v>
      </c>
      <c r="G23" s="2524"/>
    </row>
    <row r="24" spans="1:13">
      <c r="A24" s="3313"/>
      <c r="B24" s="3317"/>
      <c r="C24" s="2525" t="s">
        <v>2827</v>
      </c>
      <c r="D24" s="2526"/>
      <c r="E24" s="514">
        <v>0.8</v>
      </c>
      <c r="F24" s="2524" t="s">
        <v>2833</v>
      </c>
      <c r="G24" s="2524"/>
    </row>
    <row r="25" spans="1:13" ht="14.25" thickBot="1">
      <c r="A25" s="3314"/>
      <c r="B25" s="3323"/>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319" t="s">
        <v>2836</v>
      </c>
      <c r="B27" s="3322" t="s">
        <v>2836</v>
      </c>
      <c r="C27" s="2522" t="s">
        <v>2838</v>
      </c>
      <c r="D27" s="2523"/>
      <c r="E27" s="513">
        <v>1</v>
      </c>
      <c r="F27" s="2524" t="s">
        <v>2851</v>
      </c>
      <c r="G27" s="2524"/>
    </row>
    <row r="28" spans="1:13">
      <c r="A28" s="3320"/>
      <c r="B28" s="3317"/>
      <c r="C28" s="2525" t="s">
        <v>2839</v>
      </c>
      <c r="D28" s="2526"/>
      <c r="E28" s="514">
        <v>1</v>
      </c>
      <c r="F28" s="2524" t="s">
        <v>2852</v>
      </c>
      <c r="G28" s="2524"/>
    </row>
    <row r="29" spans="1:13">
      <c r="A29" s="3320"/>
      <c r="B29" s="3317"/>
      <c r="C29" s="2525" t="s">
        <v>2840</v>
      </c>
      <c r="D29" s="2526"/>
      <c r="E29" s="514">
        <v>0.8</v>
      </c>
      <c r="F29" s="2524" t="s">
        <v>2853</v>
      </c>
      <c r="G29" s="2524"/>
    </row>
    <row r="30" spans="1:13">
      <c r="A30" s="3320"/>
      <c r="B30" s="3317"/>
      <c r="C30" s="2525" t="s">
        <v>2841</v>
      </c>
      <c r="D30" s="2526"/>
      <c r="E30" s="514">
        <v>0.8</v>
      </c>
      <c r="F30" s="2524" t="s">
        <v>2854</v>
      </c>
      <c r="G30" s="2524"/>
    </row>
    <row r="31" spans="1:13">
      <c r="A31" s="3320"/>
      <c r="B31" s="3317"/>
      <c r="C31" s="2525" t="s">
        <v>2842</v>
      </c>
      <c r="D31" s="2526"/>
      <c r="E31" s="514">
        <v>0.8</v>
      </c>
      <c r="F31" s="2524" t="s">
        <v>2855</v>
      </c>
      <c r="G31" s="2524"/>
    </row>
    <row r="32" spans="1:13">
      <c r="A32" s="3320"/>
      <c r="B32" s="3317"/>
      <c r="C32" s="2525" t="s">
        <v>2843</v>
      </c>
      <c r="D32" s="2526"/>
      <c r="E32" s="514">
        <v>0.7</v>
      </c>
      <c r="F32" s="2524" t="s">
        <v>2856</v>
      </c>
      <c r="G32" s="2524"/>
    </row>
    <row r="33" spans="1:7">
      <c r="A33" s="3320"/>
      <c r="B33" s="3317"/>
      <c r="C33" s="2525" t="s">
        <v>2844</v>
      </c>
      <c r="D33" s="2526"/>
      <c r="E33" s="514">
        <v>0.8</v>
      </c>
      <c r="F33" s="2524" t="s">
        <v>2857</v>
      </c>
      <c r="G33" s="2524"/>
    </row>
    <row r="34" spans="1:7">
      <c r="A34" s="3320"/>
      <c r="B34" s="3317"/>
      <c r="C34" s="2525" t="s">
        <v>2845</v>
      </c>
      <c r="D34" s="2526"/>
      <c r="E34" s="514">
        <v>0.6</v>
      </c>
      <c r="F34" s="2524" t="s">
        <v>2858</v>
      </c>
      <c r="G34" s="2524"/>
    </row>
    <row r="35" spans="1:7">
      <c r="A35" s="3320"/>
      <c r="B35" s="3317"/>
      <c r="C35" s="2525" t="s">
        <v>2846</v>
      </c>
      <c r="D35" s="2526"/>
      <c r="E35" s="514">
        <v>0.2</v>
      </c>
      <c r="F35" s="2524" t="s">
        <v>2859</v>
      </c>
      <c r="G35" s="2524"/>
    </row>
    <row r="36" spans="1:7">
      <c r="A36" s="3320"/>
      <c r="B36" s="3317"/>
      <c r="C36" s="2525" t="s">
        <v>2847</v>
      </c>
      <c r="D36" s="2526"/>
      <c r="E36" s="514">
        <v>0.2</v>
      </c>
      <c r="F36" s="2524" t="s">
        <v>2860</v>
      </c>
      <c r="G36" s="2524"/>
    </row>
    <row r="37" spans="1:7">
      <c r="A37" s="3320"/>
      <c r="B37" s="3316" t="s">
        <v>2894</v>
      </c>
      <c r="C37" s="2525" t="s">
        <v>2848</v>
      </c>
      <c r="D37" s="2526"/>
      <c r="E37" s="514">
        <v>0.6</v>
      </c>
      <c r="F37" s="2524" t="s">
        <v>2861</v>
      </c>
      <c r="G37" s="2524"/>
    </row>
    <row r="38" spans="1:7">
      <c r="A38" s="3320"/>
      <c r="B38" s="3317"/>
      <c r="C38" s="2525" t="s">
        <v>2849</v>
      </c>
      <c r="D38" s="2526"/>
      <c r="E38" s="514">
        <v>0.6</v>
      </c>
      <c r="F38" s="2524" t="s">
        <v>2862</v>
      </c>
      <c r="G38" s="2524"/>
    </row>
    <row r="39" spans="1:7" ht="14.25" thickBot="1">
      <c r="A39" s="3321"/>
      <c r="B39" s="3323"/>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312" t="s">
        <v>158</v>
      </c>
      <c r="B41" s="3322" t="s">
        <v>2890</v>
      </c>
      <c r="C41" s="2522" t="s">
        <v>2866</v>
      </c>
      <c r="D41" s="2523"/>
      <c r="E41" s="513">
        <v>1</v>
      </c>
      <c r="F41" s="2524" t="s">
        <v>2878</v>
      </c>
      <c r="G41" s="2524"/>
    </row>
    <row r="42" spans="1:7">
      <c r="A42" s="3313"/>
      <c r="B42" s="3317"/>
      <c r="C42" s="2525" t="s">
        <v>2867</v>
      </c>
      <c r="D42" s="2526"/>
      <c r="E42" s="514">
        <v>1</v>
      </c>
      <c r="F42" s="2524" t="s">
        <v>2879</v>
      </c>
      <c r="G42" s="2524"/>
    </row>
    <row r="43" spans="1:7">
      <c r="A43" s="3313"/>
      <c r="B43" s="3318"/>
      <c r="C43" s="2525" t="s">
        <v>2868</v>
      </c>
      <c r="D43" s="2526"/>
      <c r="E43" s="514">
        <v>1.5</v>
      </c>
      <c r="F43" s="2524" t="s">
        <v>2880</v>
      </c>
      <c r="G43" s="2524"/>
    </row>
    <row r="44" spans="1:7">
      <c r="A44" s="3313"/>
      <c r="B44" s="517" t="s">
        <v>2891</v>
      </c>
      <c r="C44" s="2525" t="s">
        <v>2889</v>
      </c>
      <c r="D44" s="2526"/>
      <c r="E44" s="514">
        <v>2</v>
      </c>
      <c r="F44" s="2524" t="s">
        <v>2881</v>
      </c>
      <c r="G44" s="2524"/>
    </row>
    <row r="45" spans="1:7">
      <c r="A45" s="3313"/>
      <c r="B45" s="3316" t="s">
        <v>2892</v>
      </c>
      <c r="C45" s="2525" t="s">
        <v>2869</v>
      </c>
      <c r="D45" s="2526"/>
      <c r="E45" s="514">
        <v>1</v>
      </c>
      <c r="F45" s="2524" t="s">
        <v>2882</v>
      </c>
      <c r="G45" s="2524"/>
    </row>
    <row r="46" spans="1:7">
      <c r="A46" s="3313"/>
      <c r="B46" s="3317"/>
      <c r="C46" s="2525" t="s">
        <v>2870</v>
      </c>
      <c r="D46" s="2526"/>
      <c r="E46" s="514">
        <v>1</v>
      </c>
      <c r="F46" s="2524" t="s">
        <v>2883</v>
      </c>
      <c r="G46" s="2524"/>
    </row>
    <row r="47" spans="1:7">
      <c r="A47" s="3313"/>
      <c r="B47" s="3317"/>
      <c r="C47" s="2525" t="s">
        <v>2871</v>
      </c>
      <c r="D47" s="2526"/>
      <c r="E47" s="514">
        <v>1</v>
      </c>
      <c r="F47" s="2524" t="s">
        <v>2884</v>
      </c>
      <c r="G47" s="2524"/>
    </row>
    <row r="48" spans="1:7">
      <c r="A48" s="3313"/>
      <c r="B48" s="3317"/>
      <c r="C48" s="2525" t="s">
        <v>2872</v>
      </c>
      <c r="D48" s="2526"/>
      <c r="E48" s="514">
        <v>1</v>
      </c>
      <c r="F48" s="2524" t="s">
        <v>2885</v>
      </c>
      <c r="G48" s="2524"/>
    </row>
    <row r="49" spans="1:7">
      <c r="A49" s="3313"/>
      <c r="B49" s="3317"/>
      <c r="C49" s="2525" t="s">
        <v>2873</v>
      </c>
      <c r="D49" s="2526"/>
      <c r="E49" s="514">
        <v>1</v>
      </c>
      <c r="F49" s="2524" t="s">
        <v>2886</v>
      </c>
      <c r="G49" s="2524"/>
    </row>
    <row r="50" spans="1:7">
      <c r="A50" s="3313"/>
      <c r="B50" s="3317"/>
      <c r="C50" s="2525" t="s">
        <v>2874</v>
      </c>
      <c r="D50" s="2526"/>
      <c r="E50" s="514">
        <v>1</v>
      </c>
      <c r="F50" s="2524" t="s">
        <v>2887</v>
      </c>
      <c r="G50" s="2524"/>
    </row>
    <row r="51" spans="1:7" ht="14.25" thickBot="1">
      <c r="A51" s="3314"/>
      <c r="B51" s="332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316" t="s">
        <v>459</v>
      </c>
      <c r="C73" s="508" t="s">
        <v>460</v>
      </c>
      <c r="D73" s="508" t="s">
        <v>461</v>
      </c>
      <c r="E73" s="517">
        <v>0.2</v>
      </c>
      <c r="F73" s="517">
        <v>25</v>
      </c>
    </row>
    <row r="74" spans="1:7" ht="24">
      <c r="A74" s="517">
        <v>2</v>
      </c>
      <c r="B74" s="3317"/>
      <c r="C74" s="508" t="s">
        <v>2719</v>
      </c>
      <c r="D74" s="508" t="s">
        <v>2720</v>
      </c>
      <c r="E74" s="517">
        <v>0.2</v>
      </c>
      <c r="F74" s="517">
        <v>25</v>
      </c>
    </row>
    <row r="75" spans="1:7" ht="24">
      <c r="A75" s="517">
        <v>3</v>
      </c>
      <c r="B75" s="3317"/>
      <c r="C75" s="508" t="s">
        <v>2721</v>
      </c>
      <c r="D75" s="508" t="s">
        <v>2722</v>
      </c>
      <c r="E75" s="517">
        <v>0.2</v>
      </c>
      <c r="F75" s="517">
        <v>25</v>
      </c>
    </row>
    <row r="76" spans="1:7">
      <c r="A76" s="517">
        <v>4</v>
      </c>
      <c r="B76" s="3317"/>
      <c r="C76" s="508" t="s">
        <v>2723</v>
      </c>
      <c r="D76" s="508" t="s">
        <v>2724</v>
      </c>
      <c r="E76" s="517">
        <v>0.15</v>
      </c>
      <c r="F76" s="517">
        <v>20</v>
      </c>
    </row>
    <row r="77" spans="1:7" ht="24">
      <c r="A77" s="517">
        <v>5</v>
      </c>
      <c r="B77" s="3317"/>
      <c r="C77" s="508" t="s">
        <v>2725</v>
      </c>
      <c r="D77" s="508" t="s">
        <v>2726</v>
      </c>
      <c r="E77" s="517">
        <v>0.15</v>
      </c>
      <c r="F77" s="517">
        <v>20</v>
      </c>
    </row>
    <row r="78" spans="1:7" ht="24">
      <c r="A78" s="517">
        <v>6</v>
      </c>
      <c r="B78" s="3317"/>
      <c r="C78" s="508" t="s">
        <v>2727</v>
      </c>
      <c r="D78" s="508" t="s">
        <v>2728</v>
      </c>
      <c r="E78" s="517">
        <v>0.15</v>
      </c>
      <c r="F78" s="517">
        <v>20</v>
      </c>
    </row>
    <row r="79" spans="1:7" ht="24">
      <c r="A79" s="517">
        <v>7</v>
      </c>
      <c r="B79" s="3317"/>
      <c r="C79" s="508" t="s">
        <v>2729</v>
      </c>
      <c r="D79" s="508" t="s">
        <v>2730</v>
      </c>
      <c r="E79" s="517">
        <v>0.15</v>
      </c>
      <c r="F79" s="517">
        <v>20</v>
      </c>
    </row>
    <row r="80" spans="1:7" ht="24">
      <c r="A80" s="517">
        <v>8</v>
      </c>
      <c r="B80" s="3317"/>
      <c r="C80" s="508" t="s">
        <v>2731</v>
      </c>
      <c r="D80" s="508" t="s">
        <v>2732</v>
      </c>
      <c r="E80" s="517">
        <v>0.1</v>
      </c>
      <c r="F80" s="517">
        <v>15</v>
      </c>
    </row>
    <row r="81" spans="1:6" ht="24">
      <c r="A81" s="517">
        <v>9</v>
      </c>
      <c r="B81" s="3317"/>
      <c r="C81" s="508" t="s">
        <v>2733</v>
      </c>
      <c r="D81" s="508" t="s">
        <v>2734</v>
      </c>
      <c r="E81" s="517">
        <v>0.1</v>
      </c>
      <c r="F81" s="517">
        <v>15</v>
      </c>
    </row>
    <row r="82" spans="1:6" ht="24">
      <c r="A82" s="517">
        <v>10</v>
      </c>
      <c r="B82" s="3317"/>
      <c r="C82" s="508" t="s">
        <v>2735</v>
      </c>
      <c r="D82" s="508" t="s">
        <v>2736</v>
      </c>
      <c r="E82" s="517">
        <v>0.1</v>
      </c>
      <c r="F82" s="517">
        <v>15</v>
      </c>
    </row>
    <row r="83" spans="1:6" ht="24">
      <c r="A83" s="517">
        <v>11</v>
      </c>
      <c r="B83" s="3317"/>
      <c r="C83" s="508" t="s">
        <v>2737</v>
      </c>
      <c r="D83" s="508" t="s">
        <v>2738</v>
      </c>
      <c r="E83" s="517">
        <v>0.1</v>
      </c>
      <c r="F83" s="517">
        <v>15</v>
      </c>
    </row>
    <row r="84" spans="1:6" ht="24">
      <c r="A84" s="517">
        <v>12</v>
      </c>
      <c r="B84" s="3317"/>
      <c r="C84" s="508" t="s">
        <v>2739</v>
      </c>
      <c r="D84" s="508" t="s">
        <v>2740</v>
      </c>
      <c r="E84" s="517">
        <v>0.1</v>
      </c>
      <c r="F84" s="517">
        <v>15</v>
      </c>
    </row>
    <row r="85" spans="1:6">
      <c r="A85" s="517">
        <v>13</v>
      </c>
      <c r="B85" s="3317"/>
      <c r="C85" s="508" t="s">
        <v>2741</v>
      </c>
      <c r="D85" s="508" t="s">
        <v>2742</v>
      </c>
      <c r="E85" s="517">
        <v>0.1</v>
      </c>
      <c r="F85" s="517">
        <v>15</v>
      </c>
    </row>
    <row r="86" spans="1:6">
      <c r="A86" s="517">
        <v>14</v>
      </c>
      <c r="B86" s="3317"/>
      <c r="C86" s="508" t="s">
        <v>2743</v>
      </c>
      <c r="D86" s="508" t="s">
        <v>2744</v>
      </c>
      <c r="E86" s="517">
        <v>0.1</v>
      </c>
      <c r="F86" s="517">
        <v>15</v>
      </c>
    </row>
    <row r="87" spans="1:6">
      <c r="A87" s="517">
        <v>15</v>
      </c>
      <c r="B87" s="3317"/>
      <c r="C87" s="508" t="s">
        <v>2745</v>
      </c>
      <c r="D87" s="508" t="s">
        <v>2746</v>
      </c>
      <c r="E87" s="517">
        <v>0.1</v>
      </c>
      <c r="F87" s="517">
        <v>15</v>
      </c>
    </row>
    <row r="88" spans="1:6" ht="24">
      <c r="A88" s="517">
        <v>16</v>
      </c>
      <c r="B88" s="3317"/>
      <c r="C88" s="508" t="s">
        <v>2747</v>
      </c>
      <c r="D88" s="508" t="s">
        <v>2748</v>
      </c>
      <c r="E88" s="517">
        <v>0.1</v>
      </c>
      <c r="F88" s="517">
        <v>15</v>
      </c>
    </row>
    <row r="89" spans="1:6" ht="24">
      <c r="A89" s="517">
        <v>17</v>
      </c>
      <c r="B89" s="3318"/>
      <c r="C89" s="508" t="s">
        <v>2749</v>
      </c>
      <c r="D89" s="508" t="s">
        <v>2750</v>
      </c>
      <c r="E89" s="517">
        <v>0.1</v>
      </c>
      <c r="F89" s="517">
        <v>15</v>
      </c>
    </row>
    <row r="90" spans="1:6">
      <c r="A90" s="517">
        <v>18</v>
      </c>
      <c r="B90" s="3316" t="s">
        <v>462</v>
      </c>
      <c r="C90" s="508" t="s">
        <v>463</v>
      </c>
      <c r="D90" s="508" t="s">
        <v>464</v>
      </c>
      <c r="E90" s="517">
        <v>0.2</v>
      </c>
      <c r="F90" s="517">
        <v>25</v>
      </c>
    </row>
    <row r="91" spans="1:6" ht="24">
      <c r="A91" s="517">
        <v>19</v>
      </c>
      <c r="B91" s="3317"/>
      <c r="C91" s="508" t="s">
        <v>2751</v>
      </c>
      <c r="D91" s="508" t="s">
        <v>467</v>
      </c>
      <c r="E91" s="517">
        <v>0.2</v>
      </c>
      <c r="F91" s="517">
        <v>25</v>
      </c>
    </row>
    <row r="92" spans="1:6">
      <c r="A92" s="517">
        <v>20</v>
      </c>
      <c r="B92" s="3317"/>
      <c r="C92" s="508" t="s">
        <v>465</v>
      </c>
      <c r="D92" s="508" t="s">
        <v>466</v>
      </c>
      <c r="E92" s="517">
        <v>0.15</v>
      </c>
      <c r="F92" s="517">
        <v>20</v>
      </c>
    </row>
    <row r="93" spans="1:6">
      <c r="A93" s="517">
        <v>21</v>
      </c>
      <c r="B93" s="3317"/>
      <c r="C93" s="508" t="s">
        <v>2752</v>
      </c>
      <c r="D93" s="508" t="s">
        <v>468</v>
      </c>
      <c r="E93" s="517">
        <v>0.15</v>
      </c>
      <c r="F93" s="517">
        <v>20</v>
      </c>
    </row>
    <row r="94" spans="1:6">
      <c r="A94" s="517">
        <v>22</v>
      </c>
      <c r="B94" s="3317"/>
      <c r="C94" s="508" t="s">
        <v>2754</v>
      </c>
      <c r="D94" s="508" t="s">
        <v>2755</v>
      </c>
      <c r="E94" s="517">
        <v>0.15</v>
      </c>
      <c r="F94" s="517">
        <v>20</v>
      </c>
    </row>
    <row r="95" spans="1:6" ht="36">
      <c r="A95" s="517">
        <v>23</v>
      </c>
      <c r="B95" s="3317"/>
      <c r="C95" s="508" t="s">
        <v>2756</v>
      </c>
      <c r="D95" s="508" t="s">
        <v>2757</v>
      </c>
      <c r="E95" s="517">
        <v>0.15</v>
      </c>
      <c r="F95" s="517">
        <v>20</v>
      </c>
    </row>
    <row r="96" spans="1:6">
      <c r="A96" s="517">
        <v>24</v>
      </c>
      <c r="B96" s="3317"/>
      <c r="C96" s="508" t="s">
        <v>2758</v>
      </c>
      <c r="D96" s="508" t="s">
        <v>2759</v>
      </c>
      <c r="E96" s="517">
        <v>0.1</v>
      </c>
      <c r="F96" s="517">
        <v>15</v>
      </c>
    </row>
    <row r="97" spans="1:6">
      <c r="A97" s="517">
        <v>25</v>
      </c>
      <c r="B97" s="3317"/>
      <c r="C97" s="508" t="s">
        <v>2753</v>
      </c>
      <c r="D97" s="508" t="s">
        <v>2760</v>
      </c>
      <c r="E97" s="517">
        <v>0.1</v>
      </c>
      <c r="F97" s="517">
        <v>15</v>
      </c>
    </row>
    <row r="98" spans="1:6" ht="24">
      <c r="A98" s="517">
        <v>26</v>
      </c>
      <c r="B98" s="3317"/>
      <c r="C98" s="508" t="s">
        <v>2761</v>
      </c>
      <c r="D98" s="508" t="s">
        <v>2762</v>
      </c>
      <c r="E98" s="517">
        <v>0.1</v>
      </c>
      <c r="F98" s="517">
        <v>15</v>
      </c>
    </row>
    <row r="99" spans="1:6" ht="24">
      <c r="A99" s="517">
        <v>27</v>
      </c>
      <c r="B99" s="3317"/>
      <c r="C99" s="508" t="s">
        <v>2763</v>
      </c>
      <c r="D99" s="508" t="s">
        <v>2764</v>
      </c>
      <c r="E99" s="517">
        <v>0.1</v>
      </c>
      <c r="F99" s="517">
        <v>15</v>
      </c>
    </row>
    <row r="100" spans="1:6">
      <c r="A100" s="517">
        <v>28</v>
      </c>
      <c r="B100" s="3317"/>
      <c r="C100" s="508" t="s">
        <v>2765</v>
      </c>
      <c r="D100" s="508" t="s">
        <v>2766</v>
      </c>
      <c r="E100" s="517">
        <v>0.1</v>
      </c>
      <c r="F100" s="517">
        <v>15</v>
      </c>
    </row>
    <row r="101" spans="1:6">
      <c r="A101" s="517">
        <v>29</v>
      </c>
      <c r="B101" s="3317"/>
      <c r="C101" s="508" t="s">
        <v>2767</v>
      </c>
      <c r="D101" s="508" t="s">
        <v>2768</v>
      </c>
      <c r="E101" s="517">
        <v>0.1</v>
      </c>
      <c r="F101" s="517">
        <v>15</v>
      </c>
    </row>
    <row r="102" spans="1:6">
      <c r="A102" s="517">
        <v>30</v>
      </c>
      <c r="B102" s="3317"/>
      <c r="C102" s="508" t="s">
        <v>2769</v>
      </c>
      <c r="D102" s="508" t="s">
        <v>2770</v>
      </c>
      <c r="E102" s="517">
        <v>0.1</v>
      </c>
      <c r="F102" s="517">
        <v>15</v>
      </c>
    </row>
    <row r="103" spans="1:6" ht="24">
      <c r="A103" s="517">
        <v>31</v>
      </c>
      <c r="B103" s="3317"/>
      <c r="C103" s="508" t="s">
        <v>2771</v>
      </c>
      <c r="D103" s="508" t="s">
        <v>2772</v>
      </c>
      <c r="E103" s="517">
        <v>0.1</v>
      </c>
      <c r="F103" s="517">
        <v>15</v>
      </c>
    </row>
    <row r="104" spans="1:6" ht="24">
      <c r="A104" s="517">
        <v>32</v>
      </c>
      <c r="B104" s="3317"/>
      <c r="C104" s="508" t="s">
        <v>2773</v>
      </c>
      <c r="D104" s="508" t="s">
        <v>2774</v>
      </c>
      <c r="E104" s="517">
        <v>0.1</v>
      </c>
      <c r="F104" s="517">
        <v>15</v>
      </c>
    </row>
    <row r="105" spans="1:6" ht="24">
      <c r="A105" s="517">
        <v>33</v>
      </c>
      <c r="B105" s="3317"/>
      <c r="C105" s="508" t="s">
        <v>2775</v>
      </c>
      <c r="D105" s="508" t="s">
        <v>2776</v>
      </c>
      <c r="E105" s="517">
        <v>0.1</v>
      </c>
      <c r="F105" s="517">
        <v>15</v>
      </c>
    </row>
    <row r="106" spans="1:6" ht="24">
      <c r="A106" s="517">
        <v>34</v>
      </c>
      <c r="B106" s="3318"/>
      <c r="C106" s="508" t="s">
        <v>2777</v>
      </c>
      <c r="D106" s="508" t="s">
        <v>2778</v>
      </c>
      <c r="E106" s="517">
        <v>0.1</v>
      </c>
      <c r="F106" s="517">
        <v>15</v>
      </c>
    </row>
    <row r="107" spans="1:6" ht="24">
      <c r="A107" s="517">
        <v>35</v>
      </c>
      <c r="B107" s="3316" t="s">
        <v>469</v>
      </c>
      <c r="C107" s="517" t="s">
        <v>470</v>
      </c>
      <c r="D107" s="508" t="s">
        <v>2779</v>
      </c>
      <c r="E107" s="517">
        <v>0.15</v>
      </c>
      <c r="F107" s="517">
        <v>20</v>
      </c>
    </row>
    <row r="108" spans="1:6">
      <c r="A108" s="517">
        <v>36</v>
      </c>
      <c r="B108" s="3317"/>
      <c r="C108" s="517" t="s">
        <v>2781</v>
      </c>
      <c r="D108" s="508" t="s">
        <v>2782</v>
      </c>
      <c r="E108" s="517">
        <v>0.15</v>
      </c>
      <c r="F108" s="517">
        <v>20</v>
      </c>
    </row>
    <row r="109" spans="1:6">
      <c r="A109" s="517">
        <v>37</v>
      </c>
      <c r="B109" s="3317"/>
      <c r="C109" s="517" t="s">
        <v>2780</v>
      </c>
      <c r="D109" s="508" t="s">
        <v>2787</v>
      </c>
      <c r="E109" s="517">
        <v>0.15</v>
      </c>
      <c r="F109" s="517">
        <v>20</v>
      </c>
    </row>
    <row r="110" spans="1:6">
      <c r="A110" s="517">
        <v>38</v>
      </c>
      <c r="B110" s="3317"/>
      <c r="C110" s="517" t="s">
        <v>2783</v>
      </c>
      <c r="D110" s="508" t="s">
        <v>2788</v>
      </c>
      <c r="E110" s="517">
        <v>0.1</v>
      </c>
      <c r="F110" s="517">
        <v>15</v>
      </c>
    </row>
    <row r="111" spans="1:6" ht="24">
      <c r="A111" s="517">
        <v>39</v>
      </c>
      <c r="B111" s="3317"/>
      <c r="C111" s="517" t="s">
        <v>2784</v>
      </c>
      <c r="D111" s="508" t="s">
        <v>2785</v>
      </c>
      <c r="E111" s="517">
        <v>0.1</v>
      </c>
      <c r="F111" s="517">
        <v>15</v>
      </c>
    </row>
    <row r="112" spans="1:6" ht="24">
      <c r="A112" s="517">
        <v>40</v>
      </c>
      <c r="B112" s="3318"/>
      <c r="C112" s="517" t="s">
        <v>2786</v>
      </c>
      <c r="D112" s="508" t="s">
        <v>2789</v>
      </c>
      <c r="E112" s="517">
        <v>0.1</v>
      </c>
      <c r="F112" s="517">
        <v>15</v>
      </c>
    </row>
    <row r="113" spans="1:6">
      <c r="A113" s="517">
        <v>41</v>
      </c>
      <c r="B113" s="3315" t="s">
        <v>471</v>
      </c>
      <c r="C113" s="517" t="s">
        <v>472</v>
      </c>
      <c r="D113" s="508" t="s">
        <v>473</v>
      </c>
      <c r="E113" s="517">
        <v>0.1</v>
      </c>
      <c r="F113" s="517">
        <v>15</v>
      </c>
    </row>
    <row r="114" spans="1:6">
      <c r="A114" s="517">
        <v>42</v>
      </c>
      <c r="B114" s="3315"/>
      <c r="C114" s="517" t="s">
        <v>474</v>
      </c>
      <c r="D114" s="508" t="s">
        <v>475</v>
      </c>
      <c r="E114" s="517">
        <v>0.1</v>
      </c>
      <c r="F114" s="517">
        <v>15</v>
      </c>
    </row>
    <row r="115" spans="1:6" ht="24">
      <c r="A115" s="517">
        <v>43</v>
      </c>
      <c r="B115" s="3315"/>
      <c r="C115" s="517" t="s">
        <v>2790</v>
      </c>
      <c r="D115" s="508" t="s">
        <v>2791</v>
      </c>
      <c r="E115" s="517">
        <v>0.1</v>
      </c>
      <c r="F115" s="517">
        <v>15</v>
      </c>
    </row>
    <row r="116" spans="1:6">
      <c r="A116" s="517">
        <v>44</v>
      </c>
      <c r="B116" s="3316" t="s">
        <v>476</v>
      </c>
      <c r="C116" s="517" t="s">
        <v>2792</v>
      </c>
      <c r="D116" s="508" t="s">
        <v>2793</v>
      </c>
      <c r="E116" s="517">
        <v>0.1</v>
      </c>
      <c r="F116" s="517">
        <v>15</v>
      </c>
    </row>
    <row r="117" spans="1:6" ht="24">
      <c r="A117" s="517">
        <v>45</v>
      </c>
      <c r="B117" s="3318"/>
      <c r="C117" s="508" t="s">
        <v>2794</v>
      </c>
      <c r="D117" s="508" t="s">
        <v>2795</v>
      </c>
      <c r="E117" s="517">
        <v>0.1</v>
      </c>
      <c r="F117" s="517">
        <v>15</v>
      </c>
    </row>
    <row r="118" spans="1:6" ht="24">
      <c r="A118" s="517">
        <v>46</v>
      </c>
      <c r="B118" s="3316" t="s">
        <v>477</v>
      </c>
      <c r="C118" s="517" t="s">
        <v>2798</v>
      </c>
      <c r="D118" s="508" t="s">
        <v>2796</v>
      </c>
      <c r="E118" s="517">
        <v>0.1</v>
      </c>
      <c r="F118" s="517">
        <v>15</v>
      </c>
    </row>
    <row r="119" spans="1:6" ht="24">
      <c r="A119" s="517">
        <v>47</v>
      </c>
      <c r="B119" s="3318"/>
      <c r="C119" s="517" t="s">
        <v>2797</v>
      </c>
      <c r="D119" s="508" t="s">
        <v>2799</v>
      </c>
      <c r="E119" s="517">
        <v>0.1</v>
      </c>
      <c r="F119" s="517">
        <v>15</v>
      </c>
    </row>
    <row r="120" spans="1:6">
      <c r="A120" s="517">
        <v>48</v>
      </c>
      <c r="B120" s="3316" t="s">
        <v>478</v>
      </c>
      <c r="C120" s="517" t="s">
        <v>479</v>
      </c>
      <c r="D120" s="508" t="s">
        <v>480</v>
      </c>
      <c r="E120" s="517">
        <v>0.1</v>
      </c>
      <c r="F120" s="517">
        <v>15</v>
      </c>
    </row>
    <row r="121" spans="1:6">
      <c r="A121" s="517">
        <v>49</v>
      </c>
      <c r="B121" s="3318"/>
      <c r="C121" s="517" t="s">
        <v>2800</v>
      </c>
      <c r="D121" s="508" t="s">
        <v>2801</v>
      </c>
      <c r="E121" s="517">
        <v>0.1</v>
      </c>
      <c r="F121" s="517">
        <v>15</v>
      </c>
    </row>
    <row r="122" spans="1:6" ht="24">
      <c r="A122" s="517">
        <v>50</v>
      </c>
      <c r="B122" s="3315" t="s">
        <v>481</v>
      </c>
      <c r="C122" s="517" t="s">
        <v>482</v>
      </c>
      <c r="D122" s="508" t="s">
        <v>483</v>
      </c>
      <c r="E122" s="517">
        <v>0.1</v>
      </c>
      <c r="F122" s="517">
        <v>15</v>
      </c>
    </row>
    <row r="123" spans="1:6" ht="24">
      <c r="A123" s="517">
        <v>51</v>
      </c>
      <c r="B123" s="3315"/>
      <c r="C123" s="517" t="s">
        <v>484</v>
      </c>
      <c r="D123" s="508" t="s">
        <v>485</v>
      </c>
      <c r="E123" s="517">
        <v>0.1</v>
      </c>
      <c r="F123" s="517">
        <v>15</v>
      </c>
    </row>
    <row r="124" spans="1:6" ht="24">
      <c r="A124" s="517">
        <v>52</v>
      </c>
      <c r="B124" s="3315" t="s">
        <v>486</v>
      </c>
      <c r="C124" s="517" t="s">
        <v>487</v>
      </c>
      <c r="D124" s="508" t="s">
        <v>2802</v>
      </c>
      <c r="E124" s="517">
        <v>0.1</v>
      </c>
      <c r="F124" s="517">
        <v>15</v>
      </c>
    </row>
    <row r="125" spans="1:6" ht="24">
      <c r="A125" s="517">
        <v>53</v>
      </c>
      <c r="B125" s="3315"/>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315" t="s">
        <v>494</v>
      </c>
      <c r="C127" s="517" t="s">
        <v>497</v>
      </c>
      <c r="D127" s="508" t="s">
        <v>498</v>
      </c>
      <c r="E127" s="517">
        <v>0.1</v>
      </c>
      <c r="F127" s="517">
        <v>15</v>
      </c>
    </row>
    <row r="128" spans="1:6">
      <c r="A128" s="517">
        <v>56</v>
      </c>
      <c r="B128" s="3315"/>
      <c r="C128" s="517" t="s">
        <v>499</v>
      </c>
      <c r="D128" s="508" t="s">
        <v>500</v>
      </c>
      <c r="E128" s="517">
        <v>0.1</v>
      </c>
      <c r="F128" s="517">
        <v>15</v>
      </c>
    </row>
    <row r="129" spans="1:6" ht="24">
      <c r="A129" s="517">
        <v>57</v>
      </c>
      <c r="B129" s="3315"/>
      <c r="C129" s="517" t="s">
        <v>495</v>
      </c>
      <c r="D129" s="508" t="s">
        <v>496</v>
      </c>
      <c r="E129" s="517">
        <v>0.1</v>
      </c>
      <c r="F129" s="517">
        <v>15</v>
      </c>
    </row>
    <row r="130" spans="1:6" ht="24">
      <c r="A130" s="517">
        <v>58</v>
      </c>
      <c r="B130" s="3315" t="s">
        <v>493</v>
      </c>
      <c r="C130" s="517" t="s">
        <v>2803</v>
      </c>
      <c r="D130" s="508" t="s">
        <v>2804</v>
      </c>
      <c r="E130" s="517">
        <v>0.1</v>
      </c>
      <c r="F130" s="517">
        <v>15</v>
      </c>
    </row>
    <row r="131" spans="1:6">
      <c r="A131" s="517">
        <v>59</v>
      </c>
      <c r="B131" s="3315"/>
      <c r="C131" s="517" t="s">
        <v>2805</v>
      </c>
      <c r="D131" s="508" t="s">
        <v>2806</v>
      </c>
      <c r="E131" s="517">
        <v>0.1</v>
      </c>
      <c r="F131" s="517">
        <v>15</v>
      </c>
    </row>
    <row r="132" spans="1:6">
      <c r="A132" s="517">
        <v>60</v>
      </c>
      <c r="B132" s="3316" t="s">
        <v>504</v>
      </c>
      <c r="C132" s="517" t="s">
        <v>505</v>
      </c>
      <c r="D132" s="508" t="s">
        <v>2809</v>
      </c>
      <c r="E132" s="517">
        <v>0.1</v>
      </c>
      <c r="F132" s="517">
        <v>15</v>
      </c>
    </row>
    <row r="133" spans="1:6">
      <c r="A133" s="517">
        <v>61</v>
      </c>
      <c r="B133" s="3318"/>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315" t="s">
        <v>506</v>
      </c>
      <c r="C135" s="517" t="s">
        <v>507</v>
      </c>
      <c r="D135" s="508" t="s">
        <v>2811</v>
      </c>
      <c r="E135" s="517">
        <v>0.1</v>
      </c>
      <c r="F135" s="517">
        <v>15</v>
      </c>
    </row>
    <row r="136" spans="1:6">
      <c r="A136" s="517">
        <v>64</v>
      </c>
      <c r="B136" s="3315"/>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SUMPRODUCT((A95:A184=ROUNDDOWN('基准地价（商业）'!G3,1))*(B94:M94='基准地价（商业）'!G2)*(B95:M184))</f>
        <v>1.1056999999999999</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SUMPRODUCT((A371:A460=ROUNDDOWN('基准地价（商业）'!G3,1))*(B370:M370='基准地价（商业）'!G2)*(B371:M460))</f>
        <v>1.0517000000000001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2776"/>
      <c r="B4" s="3026" t="s">
        <v>1134</v>
      </c>
      <c r="C4" s="3026"/>
      <c r="D4" s="3026"/>
      <c r="E4" s="2776"/>
    </row>
    <row r="5" spans="1:5" ht="16.5" thickTop="1">
      <c r="A5" s="2774"/>
      <c r="B5" s="3024" t="s">
        <v>1126</v>
      </c>
      <c r="C5" s="2777" t="s">
        <v>1127</v>
      </c>
      <c r="D5" s="2778" t="e">
        <f ca="1">结果表!H101</f>
        <v>#REF!</v>
      </c>
      <c r="E5" s="2774"/>
    </row>
    <row r="6" spans="1:5" ht="15.75">
      <c r="A6" s="2774"/>
      <c r="B6" s="3024"/>
      <c r="C6" s="2777" t="s">
        <v>1128</v>
      </c>
      <c r="D6" s="2778" t="e">
        <f ca="1">NUMBERSTRING(INT(D5*10000),2)&amp;"元整"</f>
        <v>#REF!</v>
      </c>
      <c r="E6" s="2774"/>
    </row>
    <row r="7" spans="1:5" ht="15.75">
      <c r="A7" s="2774"/>
      <c r="B7" s="3029"/>
      <c r="C7" s="2779" t="s">
        <v>1129</v>
      </c>
      <c r="D7" s="2780" t="e">
        <f ca="1">结果表!H102</f>
        <v>#REF!</v>
      </c>
      <c r="E7" s="2774"/>
    </row>
    <row r="8" spans="1:5" ht="15.75">
      <c r="A8" s="2774"/>
      <c r="B8" s="3030" t="str">
        <f>结果表!E103</f>
        <v>2.估价师知悉的法定优先受偿款</v>
      </c>
      <c r="C8" s="2781" t="s">
        <v>1130</v>
      </c>
      <c r="D8" s="2780">
        <f>结果表!H103</f>
        <v>0</v>
      </c>
      <c r="E8" s="2774"/>
    </row>
    <row r="9" spans="1:5" ht="15.75">
      <c r="A9" s="2774"/>
      <c r="B9" s="3032"/>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3023" t="str">
        <f>结果表!E107</f>
        <v>3.房地产抵押价值</v>
      </c>
      <c r="C13" s="2785" t="s">
        <v>1127</v>
      </c>
      <c r="D13" s="2786" t="e">
        <f ca="1">结果表!H107</f>
        <v>#REF!</v>
      </c>
      <c r="E13" s="2774"/>
    </row>
    <row r="14" spans="1:5" ht="15.75">
      <c r="A14" s="2774"/>
      <c r="B14" s="3024"/>
      <c r="C14" s="2777" t="s">
        <v>1128</v>
      </c>
      <c r="D14" s="2778" t="e">
        <f ca="1">NUMBERSTRING(INT(D13*10000),2)&amp;"元整"</f>
        <v>#REF!</v>
      </c>
      <c r="E14" s="2774"/>
    </row>
    <row r="15" spans="1:5" ht="15">
      <c r="A15" s="2774"/>
      <c r="B15" s="3029"/>
      <c r="C15" s="2779" t="s">
        <v>1138</v>
      </c>
      <c r="D15" s="2787" t="e">
        <f ca="1">结果表!H108</f>
        <v>#REF!</v>
      </c>
      <c r="E15" s="2774"/>
    </row>
    <row r="16" spans="1:5" ht="15">
      <c r="A16" s="2774"/>
      <c r="B16" s="3030" t="str">
        <f>结果表!E109</f>
        <v>——</v>
      </c>
      <c r="C16" s="2785" t="s">
        <v>1139</v>
      </c>
      <c r="D16" s="2788" t="str">
        <f>结果表!H109</f>
        <v>——</v>
      </c>
      <c r="E16" s="2774"/>
    </row>
    <row r="17" spans="1:5" ht="15.75">
      <c r="A17" s="2774"/>
      <c r="B17" s="3031"/>
      <c r="C17" s="2777" t="s">
        <v>1140</v>
      </c>
      <c r="D17" s="2778" t="e">
        <f>NUMBERSTRING(INT(D16*10000),2)&amp;"元整"</f>
        <v>#VALUE!</v>
      </c>
      <c r="E17" s="2774"/>
    </row>
    <row r="18" spans="1:5" ht="15">
      <c r="A18" s="2774"/>
      <c r="B18" s="3032"/>
      <c r="C18" s="2779" t="s">
        <v>1129</v>
      </c>
      <c r="D18" s="2787" t="str">
        <f>结果表!H110</f>
        <v>——</v>
      </c>
      <c r="E18" s="2774"/>
    </row>
    <row r="19" spans="1:5" ht="15.75">
      <c r="A19" s="2774"/>
      <c r="B19" s="3023" t="str">
        <f>结果表!E111</f>
        <v>——</v>
      </c>
      <c r="C19" s="2785" t="s">
        <v>1127</v>
      </c>
      <c r="D19" s="2780" t="str">
        <f>结果表!H111</f>
        <v>——</v>
      </c>
      <c r="E19" s="2774"/>
    </row>
    <row r="20" spans="1:5" ht="15.75">
      <c r="A20" s="2774"/>
      <c r="B20" s="3024"/>
      <c r="C20" s="2777" t="s">
        <v>1140</v>
      </c>
      <c r="D20" s="2778" t="e">
        <f>NUMBERSTRING(INT(D19*10000),2)&amp;"元整"</f>
        <v>#VALUE!</v>
      </c>
      <c r="E20" s="2774"/>
    </row>
    <row r="21" spans="1:5" ht="15.75" thickBot="1">
      <c r="A21" s="2774"/>
      <c r="B21" s="3025"/>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0</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t="e">
        <f ca="1">SUMIF(INDIRECT("'"&amp;A6&amp;"'"&amp;"!A:A"),"总价",INDIRECT("'"&amp;A6&amp;"'"&amp;"!B:B"))</f>
        <v>#REF!</v>
      </c>
      <c r="C6" s="2543" t="s">
        <v>2332</v>
      </c>
      <c r="D6" s="2542"/>
      <c r="E6" s="2544" t="e">
        <f ca="1">SUMIF(INDIRECT("'"&amp;A6&amp;"'"&amp;"!C:C"),"建筑面积",INDIRECT("'"&amp;A6&amp;"'"&amp;"!D:D"))</f>
        <v>#REF!</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29" t="s">
        <v>670</v>
      </c>
      <c r="C1" s="3329"/>
      <c r="D1" s="3329"/>
      <c r="E1" s="3329"/>
      <c r="F1" s="3329"/>
      <c r="G1" s="3329"/>
      <c r="H1" s="3328" t="s">
        <v>671</v>
      </c>
      <c r="I1" s="3328"/>
      <c r="J1" s="3328"/>
      <c r="K1" s="3328"/>
      <c r="L1" s="3328"/>
      <c r="M1" s="3328"/>
      <c r="N1" s="2552"/>
      <c r="O1" s="3328" t="s">
        <v>672</v>
      </c>
      <c r="P1" s="3328"/>
      <c r="Q1" s="3328"/>
      <c r="R1" s="3328"/>
      <c r="S1" s="2552"/>
      <c r="T1" s="3328" t="s">
        <v>673</v>
      </c>
      <c r="U1" s="3328"/>
      <c r="V1" s="3328"/>
      <c r="W1" s="3328"/>
      <c r="X1" s="2552"/>
      <c r="Y1" s="3327" t="s">
        <v>674</v>
      </c>
      <c r="Z1" s="3328"/>
      <c r="AA1" s="3328"/>
      <c r="AB1" s="3328"/>
      <c r="AC1" s="3328"/>
      <c r="AD1" s="3328"/>
      <c r="AE1" s="2552"/>
      <c r="AF1" s="3327" t="s">
        <v>675</v>
      </c>
      <c r="AG1" s="3328"/>
      <c r="AH1" s="3328"/>
      <c r="AI1" s="3328"/>
      <c r="AJ1" s="3328"/>
      <c r="AK1" s="3328"/>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2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2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2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3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3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2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2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3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3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2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2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2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32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2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2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2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3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3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3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3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32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2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2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32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32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2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2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2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32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2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2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2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32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2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2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2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32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2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2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2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32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2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2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2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32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2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2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2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32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2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2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2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32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2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2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2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32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2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25">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326">
        <v>2003</v>
      </c>
      <c r="I85" s="2633">
        <v>1</v>
      </c>
    </row>
    <row r="86" spans="1:31" ht="13.5" hidden="1" thickBot="1">
      <c r="A86" s="2574" t="s">
        <v>726</v>
      </c>
      <c r="B86" s="2611">
        <v>106</v>
      </c>
      <c r="C86" s="2611">
        <v>107</v>
      </c>
      <c r="D86" s="2611">
        <f t="shared" si="210"/>
        <v>107</v>
      </c>
      <c r="E86" s="2611"/>
      <c r="F86" s="2611">
        <v>105</v>
      </c>
      <c r="G86" s="2612">
        <v>102</v>
      </c>
      <c r="H86" s="332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2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25">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32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38" t="s">
        <v>2342</v>
      </c>
      <c r="D1" s="3339"/>
      <c r="E1" s="3339"/>
      <c r="F1" s="3339"/>
      <c r="G1" s="3339"/>
      <c r="H1" s="3339"/>
      <c r="I1" s="3339"/>
      <c r="J1" s="3339"/>
      <c r="K1" s="3339"/>
      <c r="L1" s="3339"/>
      <c r="M1" s="3339"/>
      <c r="N1" s="3339"/>
      <c r="O1" s="3339"/>
      <c r="P1" s="3339"/>
      <c r="Q1" s="3339"/>
      <c r="R1" s="3339"/>
      <c r="S1" s="334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35" t="s">
        <v>30</v>
      </c>
      <c r="D22" s="3336"/>
      <c r="E22" s="3336"/>
      <c r="F22" s="3336"/>
      <c r="G22" s="3336"/>
      <c r="H22" s="3336"/>
      <c r="I22" s="3336"/>
      <c r="J22" s="3336"/>
      <c r="K22" s="3336"/>
      <c r="L22" s="3336"/>
      <c r="M22" s="3336"/>
      <c r="N22" s="3336"/>
      <c r="O22" s="3336"/>
      <c r="P22" s="3336"/>
      <c r="Q22" s="333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84272.48</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84272.48</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84272.48</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98" t="s">
        <v>97</v>
      </c>
    </row>
    <row r="43" spans="1:7" ht="13.5" customHeight="1">
      <c r="A43" s="1179" t="s">
        <v>555</v>
      </c>
      <c r="B43" s="1155" t="s">
        <v>644</v>
      </c>
      <c r="C43" s="1180" t="e">
        <f ca="1">ROUND(IF('数据-取费表'!B22&lt;=1,C39*F22*'数据-取费表'!B21/2,C39*(POWER((1+F22),'数据-取费表'!B21/2)-1)),0)</f>
        <v>#VALUE!</v>
      </c>
      <c r="D43" s="1180"/>
      <c r="E43" s="1180"/>
      <c r="F43" s="1181"/>
      <c r="G43" s="3199"/>
    </row>
    <row r="44" spans="1:7" ht="13.5" customHeight="1">
      <c r="A44" s="1179" t="s">
        <v>556</v>
      </c>
      <c r="B44" s="1155" t="s">
        <v>646</v>
      </c>
      <c r="C44" s="1180" t="e">
        <f ca="1">ROUND(IF('数据-取费表'!B22&lt;=1,C40*F22*'数据-取费表'!B21/2,C40*(POWER((1+F22),'数据-取费表'!B21/2)-1)),4)</f>
        <v>#VALUE!</v>
      </c>
      <c r="D44" s="1180"/>
      <c r="E44" s="1180"/>
      <c r="F44" s="1181"/>
      <c r="G44" s="320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'基准地价（商业）'!G23</f>
        <v>44826</v>
      </c>
      <c r="B1" s="2748" t="s">
        <v>3086</v>
      </c>
      <c r="C1" s="2749"/>
      <c r="D1" s="2749"/>
      <c r="E1" s="2749"/>
      <c r="F1" s="2749"/>
      <c r="G1" s="2749"/>
      <c r="H1" s="2749"/>
      <c r="I1" s="2749"/>
      <c r="J1" s="2552"/>
      <c r="K1" s="2749" t="s">
        <v>672</v>
      </c>
      <c r="L1" s="2749"/>
      <c r="M1" s="2749"/>
      <c r="N1" s="2749"/>
      <c r="O1" s="2749"/>
      <c r="P1" s="2749"/>
      <c r="Q1" s="2552"/>
      <c r="R1" s="3327" t="s">
        <v>674</v>
      </c>
      <c r="S1" s="3328"/>
      <c r="T1" s="3328"/>
      <c r="U1" s="3328"/>
      <c r="V1" s="3328"/>
      <c r="W1" s="3328"/>
      <c r="X1" s="2552"/>
      <c r="Y1" s="3327" t="s">
        <v>675</v>
      </c>
      <c r="Z1" s="3328"/>
      <c r="AA1" s="3328"/>
      <c r="AB1" s="3328"/>
      <c r="AC1" s="3328"/>
      <c r="AD1" s="3328"/>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327" t="s">
        <v>674</v>
      </c>
      <c r="S18" s="3328"/>
      <c r="T18" s="3328"/>
      <c r="U18" s="3328"/>
      <c r="V18" s="3328"/>
      <c r="W18" s="3328"/>
      <c r="X18" s="2552"/>
      <c r="Y18" s="3327" t="s">
        <v>675</v>
      </c>
      <c r="Z18" s="3328"/>
      <c r="AA18" s="3328"/>
      <c r="AB18" s="3328"/>
      <c r="AC18" s="3328"/>
      <c r="AD18" s="3328"/>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90" zoomScaleNormal="90" zoomScaleSheetLayoutView="90" workbookViewId="0">
      <selection activeCell="E53" sqref="E53"/>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41" t="s">
        <v>3039</v>
      </c>
      <c r="B1" s="3341"/>
      <c r="C1" s="3341"/>
      <c r="D1" s="3341"/>
      <c r="E1" s="3341"/>
      <c r="F1" s="3341"/>
      <c r="G1" s="334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4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4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34330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36700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34550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32420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36050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45" t="s">
        <v>601</v>
      </c>
      <c r="B1" s="3345"/>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44826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6"/>
  </cols>
  <sheetData>
    <row r="1" spans="1:6">
      <c r="A1" s="3346" t="s">
        <v>2706</v>
      </c>
      <c r="B1" s="3346"/>
      <c r="C1" s="3346"/>
      <c r="D1" s="3346"/>
      <c r="E1" s="3346"/>
      <c r="F1" s="334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1145</v>
      </c>
      <c r="B2" s="3041" t="s">
        <v>1146</v>
      </c>
      <c r="C2" s="3041" t="s">
        <v>1147</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6"/>
      <c r="B3" s="3036"/>
      <c r="C3" s="3036"/>
      <c r="D3" s="2770" t="s">
        <v>1142</v>
      </c>
      <c r="E3" s="2770" t="s">
        <v>1148</v>
      </c>
      <c r="F3" s="2770" t="s">
        <v>1142</v>
      </c>
      <c r="G3" s="2770" t="s">
        <v>1143</v>
      </c>
      <c r="H3" s="2770" t="s">
        <v>1142</v>
      </c>
      <c r="I3" s="2770" t="s">
        <v>1143</v>
      </c>
    </row>
    <row r="4" spans="1:9" ht="15">
      <c r="A4" s="2771" t="str">
        <f>项目基本情况!S2</f>
        <v>北京市房地产</v>
      </c>
      <c r="B4" s="2770">
        <f>项目基本情况!C17</f>
        <v>84272.48</v>
      </c>
      <c r="C4" s="2770">
        <f>项目基本情况!C18</f>
        <v>52670.3</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36" t="s">
        <v>1144</v>
      </c>
      <c r="B5" s="3036"/>
      <c r="C5" s="3036"/>
      <c r="D5" s="3036" t="e">
        <f ca="1">结果表!D119</f>
        <v>#REF!</v>
      </c>
      <c r="E5" s="3036"/>
      <c r="F5" s="3036" t="e">
        <f ca="1">结果表!F119</f>
        <v>#REF!</v>
      </c>
      <c r="G5" s="3036"/>
      <c r="H5" s="3036" t="e">
        <f ca="1">结果表!H119</f>
        <v>#REF!</v>
      </c>
      <c r="I5" s="3036"/>
    </row>
    <row r="6" spans="1:9" ht="15.75">
      <c r="A6" s="3035" t="str">
        <f>结果表!A120</f>
        <v>估价师知悉的法定优先受偿款</v>
      </c>
      <c r="B6" s="3035"/>
      <c r="C6" s="3035"/>
      <c r="D6" s="3035">
        <f>结果表!D120</f>
        <v>0</v>
      </c>
      <c r="E6" s="3035"/>
      <c r="F6" s="3035"/>
      <c r="G6" s="3035"/>
      <c r="H6" s="3035"/>
      <c r="I6" s="3035"/>
    </row>
    <row r="7" spans="1:9" ht="15">
      <c r="A7" s="3036" t="s">
        <v>1144</v>
      </c>
      <c r="B7" s="3036"/>
      <c r="C7" s="3036"/>
      <c r="D7" s="3037" t="str">
        <f>结果表!D121</f>
        <v>零元整</v>
      </c>
      <c r="E7" s="3038"/>
      <c r="F7" s="3038"/>
      <c r="G7" s="3038"/>
      <c r="H7" s="3038"/>
      <c r="I7" s="3039"/>
    </row>
    <row r="8" spans="1:9" ht="15.75">
      <c r="A8" s="3035" t="str">
        <f>结果表!A122</f>
        <v>房地产抵押价值</v>
      </c>
      <c r="B8" s="3035"/>
      <c r="C8" s="3035"/>
      <c r="D8" s="3035" t="e">
        <f ca="1">结果表!D122</f>
        <v>#REF!</v>
      </c>
      <c r="E8" s="3035"/>
      <c r="F8" s="3035"/>
      <c r="G8" s="3035"/>
      <c r="H8" s="3035"/>
      <c r="I8" s="3035"/>
    </row>
    <row r="9" spans="1:9" ht="15">
      <c r="A9" s="3036" t="s">
        <v>1144</v>
      </c>
      <c r="B9" s="3036"/>
      <c r="C9" s="3036"/>
      <c r="D9" s="3036" t="e">
        <f ca="1">结果表!D123</f>
        <v>#REF!</v>
      </c>
      <c r="E9" s="3036"/>
      <c r="F9" s="3036"/>
      <c r="G9" s="3036"/>
      <c r="H9" s="3036"/>
      <c r="I9" s="3036"/>
    </row>
    <row r="10" spans="1:9" ht="15.75">
      <c r="A10" s="3035" t="str">
        <f>结果表!A124</f>
        <v/>
      </c>
      <c r="B10" s="3035"/>
      <c r="C10" s="3035"/>
      <c r="D10" s="3035" t="str">
        <f>结果表!D124</f>
        <v>——</v>
      </c>
      <c r="E10" s="3035"/>
      <c r="F10" s="3035"/>
      <c r="G10" s="3035"/>
      <c r="H10" s="3035"/>
      <c r="I10" s="3035"/>
    </row>
    <row r="11" spans="1:9" ht="15">
      <c r="A11" s="3036" t="s">
        <v>1144</v>
      </c>
      <c r="B11" s="3036"/>
      <c r="C11" s="3036"/>
      <c r="D11" s="3036" t="e">
        <f>结果表!D125</f>
        <v>#VALUE!</v>
      </c>
      <c r="E11" s="3036"/>
      <c r="F11" s="3036"/>
      <c r="G11" s="3036"/>
      <c r="H11" s="3036"/>
      <c r="I11" s="3036"/>
    </row>
    <row r="12" spans="1:9" ht="15.75">
      <c r="A12" s="3035" t="str">
        <f>结果表!A126</f>
        <v/>
      </c>
      <c r="B12" s="3035"/>
      <c r="C12" s="3035"/>
      <c r="D12" s="3035" t="str">
        <f>结果表!D126</f>
        <v>——</v>
      </c>
      <c r="E12" s="3035"/>
      <c r="F12" s="3035"/>
      <c r="G12" s="3035"/>
      <c r="H12" s="3035"/>
      <c r="I12" s="3035"/>
    </row>
    <row r="13" spans="1:9" ht="15.75" thickBot="1">
      <c r="A13" s="3033" t="s">
        <v>1144</v>
      </c>
      <c r="B13" s="3033"/>
      <c r="C13" s="3033"/>
      <c r="D13" s="3033" t="e">
        <f>结果表!D127</f>
        <v>#VALUE!</v>
      </c>
      <c r="E13" s="3033"/>
      <c r="F13" s="3033"/>
      <c r="G13" s="3033"/>
      <c r="H13" s="3033"/>
      <c r="I13" s="3033"/>
    </row>
    <row r="14" spans="1:9" ht="15" thickTop="1">
      <c r="A14" s="3034" t="s">
        <v>1149</v>
      </c>
      <c r="B14" s="3034"/>
      <c r="C14" s="3034"/>
      <c r="D14" s="3034"/>
      <c r="E14" s="3034"/>
      <c r="F14" s="3034"/>
      <c r="G14" s="3034"/>
      <c r="H14" s="3034"/>
      <c r="I14" s="3034"/>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48" t="s">
        <v>1166</v>
      </c>
      <c r="B1" s="3048"/>
      <c r="C1" s="3048"/>
      <c r="D1" s="3048"/>
    </row>
    <row r="2" spans="1:4" ht="18">
      <c r="A2" s="3049" t="s">
        <v>1150</v>
      </c>
      <c r="B2" s="3049"/>
      <c r="C2" s="3049"/>
      <c r="D2" s="3049"/>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49" t="s">
        <v>1156</v>
      </c>
      <c r="B6" s="3049"/>
      <c r="C6" s="3049"/>
      <c r="D6" s="3049"/>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50" t="s">
        <v>1159</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2" t="str">
        <f>IF(项目基本情况!B8="抵押","3.抵押双方在办理抵押登记手续时，应使用本公司出具的正式《房地产评估报告》，特提醒报告使用者注意。","——")</f>
        <v>——</v>
      </c>
      <c r="B13" s="3047"/>
      <c r="C13" s="3047"/>
      <c r="D13" s="3047"/>
    </row>
    <row r="14" spans="1:4" ht="15.75" customHeight="1">
      <c r="A14" s="3042" t="str">
        <f>IF(项目基本情况!B8="抵押","4.本次评估估价师所知悉的法定优先受偿款情况说明如下：","——")</f>
        <v>——</v>
      </c>
      <c r="B14" s="3047"/>
      <c r="C14" s="3047"/>
      <c r="D14" s="3047"/>
    </row>
    <row r="15" spans="1:4" ht="42" customHeight="1">
      <c r="A15" s="3042" t="str">
        <f>IF(项目基本情况!B8="抵押","（1）"&amp;CONCATENATE(项目基本情况!L20,项目基本情况!L21,项目基本情况!L22),"——")</f>
        <v>——</v>
      </c>
      <c r="B15" s="3042"/>
      <c r="C15" s="3042"/>
      <c r="D15" s="3042"/>
    </row>
    <row r="16" spans="1:4" ht="30" customHeight="1">
      <c r="A16" s="3044" t="s">
        <v>1160</v>
      </c>
      <c r="B16" s="3044"/>
      <c r="C16" s="3044"/>
      <c r="D16" s="3044"/>
    </row>
    <row r="17" spans="1:4" ht="144" customHeight="1">
      <c r="A17" s="3044" t="s">
        <v>1161</v>
      </c>
      <c r="B17" s="3044"/>
      <c r="C17" s="3044"/>
      <c r="D17" s="3044"/>
    </row>
    <row r="18" spans="1:4" ht="15.75" customHeight="1">
      <c r="A18" s="3042" t="str">
        <f>IF(项目基本情况!B8="抵押",结果表!K120,"——")</f>
        <v>——</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1162</v>
      </c>
      <c r="B22" s="3046"/>
      <c r="C22" s="3046"/>
      <c r="D22" s="3046"/>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43">
        <v>42551</v>
      </c>
      <c r="D31" s="3043"/>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56" t="s">
        <v>1173</v>
      </c>
      <c r="B15" s="3051" t="s">
        <v>112</v>
      </c>
      <c r="C15" s="3052"/>
    </row>
    <row r="16" spans="1:7" ht="13.5">
      <c r="A16" s="3057"/>
      <c r="B16" s="3051" t="s">
        <v>45</v>
      </c>
      <c r="C16" s="3052"/>
    </row>
    <row r="17" spans="1:3" ht="13.5">
      <c r="A17" s="3057"/>
      <c r="B17" s="3054" t="s">
        <v>1174</v>
      </c>
      <c r="C17" s="203" t="s">
        <v>1173</v>
      </c>
    </row>
    <row r="18" spans="1:3" ht="13.5">
      <c r="A18" s="3057"/>
      <c r="B18" s="3054"/>
      <c r="C18" s="203" t="s">
        <v>1175</v>
      </c>
    </row>
    <row r="19" spans="1:3" ht="13.5">
      <c r="A19" s="3057"/>
      <c r="B19" s="3054"/>
      <c r="C19" s="203" t="s">
        <v>1176</v>
      </c>
    </row>
    <row r="20" spans="1:3" ht="13.5">
      <c r="A20" s="3058"/>
      <c r="B20" s="3053" t="s">
        <v>1177</v>
      </c>
      <c r="C20" s="3052"/>
    </row>
    <row r="21" spans="1:3" ht="13.5">
      <c r="A21" s="204" t="s">
        <v>1178</v>
      </c>
      <c r="B21" s="205"/>
      <c r="C21" s="206"/>
    </row>
    <row r="22" spans="1:3" ht="13.5">
      <c r="A22" s="3055" t="s">
        <v>1179</v>
      </c>
      <c r="B22" s="3053" t="s">
        <v>1180</v>
      </c>
      <c r="C22" s="3052"/>
    </row>
    <row r="23" spans="1:3" ht="13.5">
      <c r="A23" s="3055"/>
      <c r="B23" s="3053" t="s">
        <v>1181</v>
      </c>
      <c r="C23" s="3052"/>
    </row>
    <row r="24" spans="1:3" ht="13.5">
      <c r="A24" s="3055"/>
      <c r="B24" s="3053" t="s">
        <v>1182</v>
      </c>
      <c r="C24" s="3052"/>
    </row>
    <row r="25" spans="1:3" ht="13.5">
      <c r="A25" s="3055"/>
      <c r="B25" s="3054" t="s">
        <v>1183</v>
      </c>
      <c r="C25" s="203" t="s">
        <v>1184</v>
      </c>
    </row>
    <row r="26" spans="1:3" ht="13.5">
      <c r="A26" s="3055"/>
      <c r="B26" s="3054"/>
      <c r="C26" s="203" t="s">
        <v>1185</v>
      </c>
    </row>
    <row r="27" spans="1:3" ht="13.5">
      <c r="A27" s="3055"/>
      <c r="B27" s="3054"/>
      <c r="C27" s="203" t="s">
        <v>1186</v>
      </c>
    </row>
    <row r="28" spans="1:3" ht="13.5">
      <c r="A28" s="3055"/>
      <c r="B28" s="3054"/>
      <c r="C28" s="203" t="s">
        <v>1187</v>
      </c>
    </row>
    <row r="29" spans="1:3" ht="13.5">
      <c r="A29" s="3055"/>
      <c r="B29" s="3054"/>
      <c r="C29" s="203" t="s">
        <v>1188</v>
      </c>
    </row>
    <row r="30" spans="1:3" ht="13.5">
      <c r="A30" s="3055"/>
      <c r="B30" s="3054"/>
      <c r="C30" s="203" t="s">
        <v>1189</v>
      </c>
    </row>
    <row r="31" spans="1:3" ht="13.5">
      <c r="A31" s="3055"/>
      <c r="B31" s="3054"/>
      <c r="C31" s="203" t="s">
        <v>1190</v>
      </c>
    </row>
    <row r="32" spans="1:3" ht="13.5">
      <c r="A32" s="3055"/>
      <c r="B32" s="3054"/>
      <c r="C32" s="203" t="s">
        <v>1191</v>
      </c>
    </row>
    <row r="33" spans="1:3" ht="13.5">
      <c r="A33" s="3055"/>
      <c r="B33" s="3054"/>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44860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59" t="s">
        <v>2418</v>
      </c>
      <c r="B17" s="3059"/>
      <c r="C17" s="3059"/>
      <c r="D17" s="3059"/>
      <c r="E17" s="3059"/>
      <c r="F17" s="3059"/>
      <c r="G17" s="3059"/>
      <c r="H17" s="3059"/>
    </row>
    <row r="18" spans="1:8" ht="24" customHeight="1">
      <c r="A18" s="3060" t="s">
        <v>2419</v>
      </c>
      <c r="B18" s="3060"/>
      <c r="C18" s="3060"/>
      <c r="D18" s="570"/>
      <c r="E18" s="3061" t="s">
        <v>2420</v>
      </c>
      <c r="F18" s="3060"/>
      <c r="G18" s="306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53" priority="51">
      <formula>AND($C4-TODAY()&lt;30,TODAY()&lt;$C4)</formula>
    </cfRule>
  </conditionalFormatting>
  <conditionalFormatting sqref="C20:D20">
    <cfRule type="expression" dxfId="252" priority="50">
      <formula>AND($C20-TODAY()&lt;30,TODAY()&lt;$C20)</formula>
    </cfRule>
  </conditionalFormatting>
  <conditionalFormatting sqref="C20:D20 G4 C4:D5 C13:D13">
    <cfRule type="cellIs" dxfId="251" priority="52" stopIfTrue="1" operator="lessThan">
      <formula>$B$2</formula>
    </cfRule>
  </conditionalFormatting>
  <conditionalFormatting sqref="G5 G7 G9">
    <cfRule type="cellIs" dxfId="250" priority="49" stopIfTrue="1" operator="lessThan">
      <formula>$B$2</formula>
    </cfRule>
  </conditionalFormatting>
  <conditionalFormatting sqref="C6:D6 D14 D16">
    <cfRule type="expression" dxfId="249" priority="47">
      <formula>AND($C6-TODAY()&lt;30,TODAY()&lt;$C6)</formula>
    </cfRule>
  </conditionalFormatting>
  <conditionalFormatting sqref="G6 G8 G10 C6:D6 D7:D12 D14 D16">
    <cfRule type="cellIs" dxfId="248" priority="48" stopIfTrue="1" operator="lessThan">
      <formula>$B$2</formula>
    </cfRule>
  </conditionalFormatting>
  <conditionalFormatting sqref="D12">
    <cfRule type="expression" dxfId="247" priority="45">
      <formula>AND($C12-TODAY()&lt;30,TODAY()&lt;$C12)</formula>
    </cfRule>
  </conditionalFormatting>
  <conditionalFormatting sqref="D12">
    <cfRule type="cellIs" dxfId="246" priority="46" stopIfTrue="1" operator="lessThan">
      <formula>$B$2</formula>
    </cfRule>
  </conditionalFormatting>
  <conditionalFormatting sqref="C13:D13">
    <cfRule type="expression" dxfId="245" priority="43">
      <formula>AND($C13-TODAY()&lt;30,TODAY()&lt;$C13)</formula>
    </cfRule>
  </conditionalFormatting>
  <conditionalFormatting sqref="C13:D13">
    <cfRule type="cellIs" dxfId="244" priority="44" stopIfTrue="1" operator="lessThan">
      <formula>$B$2</formula>
    </cfRule>
  </conditionalFormatting>
  <conditionalFormatting sqref="D14">
    <cfRule type="expression" dxfId="243" priority="41">
      <formula>AND($C14-TODAY()&lt;30,TODAY()&lt;$C14)</formula>
    </cfRule>
  </conditionalFormatting>
  <conditionalFormatting sqref="D14">
    <cfRule type="cellIs" dxfId="242" priority="42" stopIfTrue="1" operator="lessThan">
      <formula>$B$2</formula>
    </cfRule>
  </conditionalFormatting>
  <conditionalFormatting sqref="G13">
    <cfRule type="cellIs" dxfId="241" priority="40" stopIfTrue="1" operator="lessThan">
      <formula>$B$2</formula>
    </cfRule>
  </conditionalFormatting>
  <conditionalFormatting sqref="B4:B11 F4:F11 B13 F13:F14">
    <cfRule type="cellIs" dxfId="240" priority="39" stopIfTrue="1" operator="equal">
      <formula>"已过期"</formula>
    </cfRule>
  </conditionalFormatting>
  <conditionalFormatting sqref="G20">
    <cfRule type="expression" dxfId="239" priority="37">
      <formula>AND($E20-TODAY()&lt;30,TODAY()&lt;$E20)</formula>
    </cfRule>
  </conditionalFormatting>
  <conditionalFormatting sqref="G20">
    <cfRule type="cellIs" dxfId="238" priority="38" stopIfTrue="1" operator="lessThan">
      <formula>$B$2</formula>
    </cfRule>
  </conditionalFormatting>
  <conditionalFormatting sqref="C7">
    <cfRule type="expression" dxfId="237" priority="35">
      <formula>AND($C7-TODAY()&lt;30,TODAY()&lt;$C7)</formula>
    </cfRule>
  </conditionalFormatting>
  <conditionalFormatting sqref="C7">
    <cfRule type="cellIs" dxfId="236" priority="36" stopIfTrue="1" operator="lessThan">
      <formula>$B$2</formula>
    </cfRule>
  </conditionalFormatting>
  <conditionalFormatting sqref="C8">
    <cfRule type="expression" dxfId="235" priority="33">
      <formula>AND($C8-TODAY()&lt;30,TODAY()&lt;$C8)</formula>
    </cfRule>
  </conditionalFormatting>
  <conditionalFormatting sqref="C8">
    <cfRule type="cellIs" dxfId="234" priority="34" stopIfTrue="1" operator="lessThan">
      <formula>$B$2</formula>
    </cfRule>
  </conditionalFormatting>
  <conditionalFormatting sqref="C11">
    <cfRule type="expression" dxfId="233" priority="31">
      <formula>AND($C11-TODAY()&lt;30,TODAY()&lt;$C11)</formula>
    </cfRule>
  </conditionalFormatting>
  <conditionalFormatting sqref="C11">
    <cfRule type="cellIs" dxfId="232" priority="32" stopIfTrue="1" operator="lessThan">
      <formula>$B$2</formula>
    </cfRule>
  </conditionalFormatting>
  <conditionalFormatting sqref="A16:C16">
    <cfRule type="cellIs" dxfId="231" priority="30" stopIfTrue="1" operator="equal">
      <formula>"已过期"</formula>
    </cfRule>
  </conditionalFormatting>
  <conditionalFormatting sqref="E16:G16">
    <cfRule type="cellIs" dxfId="230" priority="29" stopIfTrue="1" operator="equal">
      <formula>"已过期"</formula>
    </cfRule>
  </conditionalFormatting>
  <conditionalFormatting sqref="G11">
    <cfRule type="cellIs" dxfId="229" priority="28" stopIfTrue="1" operator="lessThan">
      <formula>$B$2</formula>
    </cfRule>
  </conditionalFormatting>
  <conditionalFormatting sqref="F12">
    <cfRule type="cellIs" dxfId="228" priority="27" stopIfTrue="1" operator="equal">
      <formula>"已过期"</formula>
    </cfRule>
  </conditionalFormatting>
  <conditionalFormatting sqref="G12">
    <cfRule type="cellIs" dxfId="227" priority="26" stopIfTrue="1" operator="lessThan">
      <formula>$B$2</formula>
    </cfRule>
  </conditionalFormatting>
  <conditionalFormatting sqref="C12">
    <cfRule type="cellIs" dxfId="226" priority="25" stopIfTrue="1" operator="lessThan">
      <formula>$B$2</formula>
    </cfRule>
  </conditionalFormatting>
  <conditionalFormatting sqref="C12">
    <cfRule type="expression" dxfId="225" priority="23">
      <formula>AND($C12-TODAY()&lt;30,TODAY()&lt;$C12)</formula>
    </cfRule>
  </conditionalFormatting>
  <conditionalFormatting sqref="C12">
    <cfRule type="cellIs" dxfId="224" priority="24" stopIfTrue="1" operator="lessThan">
      <formula>$B$2</formula>
    </cfRule>
  </conditionalFormatting>
  <conditionalFormatting sqref="B12">
    <cfRule type="cellIs" dxfId="223" priority="22" stopIfTrue="1" operator="equal">
      <formula>"已过期"</formula>
    </cfRule>
  </conditionalFormatting>
  <conditionalFormatting sqref="C9:C10">
    <cfRule type="expression" dxfId="222" priority="20">
      <formula>AND($C9-TODAY()&lt;30,TODAY()&lt;$C9)</formula>
    </cfRule>
  </conditionalFormatting>
  <conditionalFormatting sqref="C9:C10">
    <cfRule type="cellIs" dxfId="221" priority="21" stopIfTrue="1" operator="lessThan">
      <formula>$B$2</formula>
    </cfRule>
  </conditionalFormatting>
  <conditionalFormatting sqref="G21">
    <cfRule type="expression" dxfId="220" priority="18" stopIfTrue="1">
      <formula>AND(#REF!-TODAY()&lt;30,TODAY()&lt;#REF!)</formula>
    </cfRule>
  </conditionalFormatting>
  <conditionalFormatting sqref="G21">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截图</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基准地价（住宅自持0.8）</vt:lpstr>
      <vt:lpstr>基准地价（住宅上海0.25）</vt:lpstr>
      <vt:lpstr>基准地价（工业）</vt:lpstr>
      <vt:lpstr>基准地价（商业）</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'基准地价（工业）'!Print_Area</vt:lpstr>
      <vt:lpstr>'基准地价（汇总）'!Print_Area</vt:lpstr>
      <vt:lpstr>'基准地价（商业）'!Print_Area</vt:lpstr>
      <vt:lpstr>'基准地价（住宅上海0.25）'!Print_Area</vt:lpstr>
      <vt:lpstr>'基准地价（住宅自持0.8）'!Print_Area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'基准地价（工业）'!季度</vt:lpstr>
      <vt:lpstr>'基准地价（住宅上海0.25）'!季度</vt:lpstr>
      <vt:lpstr>'基准地价（住宅自持0.8）'!季度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2022-10-26T08:56:45Z</dcterms:modified>
</cp:coreProperties>
</file>