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245" yWindow="-15" windowWidth="10290" windowHeight="7860" tabRatio="885" firstSheet="8"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租金" sheetId="64"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R13" i="63"/>
  <c r="Q13"/>
  <c r="P13"/>
  <c r="G47" i="21"/>
  <c r="I47"/>
  <c r="E47"/>
  <c r="G15" i="1"/>
  <c r="G16"/>
  <c r="E20" s="1"/>
  <c r="B131" i="64" l="1"/>
  <c r="H47" s="1"/>
  <c r="B129"/>
  <c r="B127"/>
  <c r="D126"/>
  <c r="E126" s="1"/>
  <c r="D124"/>
  <c r="E124" s="1"/>
  <c r="D120"/>
  <c r="E120" s="1"/>
  <c r="F120" s="1"/>
  <c r="G120" s="1"/>
  <c r="H120" s="1"/>
  <c r="I120" s="1"/>
  <c r="J120" s="1"/>
  <c r="K120" s="1"/>
  <c r="L120" s="1"/>
  <c r="M120" s="1"/>
  <c r="D118"/>
  <c r="E118" s="1"/>
  <c r="D116"/>
  <c r="E116" s="1"/>
  <c r="F116" s="1"/>
  <c r="G116" s="1"/>
  <c r="H116" s="1"/>
  <c r="I116" s="1"/>
  <c r="J116" s="1"/>
  <c r="K116" s="1"/>
  <c r="L116" s="1"/>
  <c r="M116" s="1"/>
  <c r="D114"/>
  <c r="E114" s="1"/>
  <c r="F114" s="1"/>
  <c r="G114" s="1"/>
  <c r="H114" s="1"/>
  <c r="I114" s="1"/>
  <c r="J114" s="1"/>
  <c r="K114" s="1"/>
  <c r="L114" s="1"/>
  <c r="M114" s="1"/>
  <c r="D112"/>
  <c r="E112" s="1"/>
  <c r="F112" s="1"/>
  <c r="G112" s="1"/>
  <c r="H112" s="1"/>
  <c r="I112" s="1"/>
  <c r="J112" s="1"/>
  <c r="K112" s="1"/>
  <c r="L112" s="1"/>
  <c r="M112" s="1"/>
  <c r="G110"/>
  <c r="F110"/>
  <c r="E110"/>
  <c r="D110"/>
  <c r="C110"/>
  <c r="E109"/>
  <c r="F109" s="1"/>
  <c r="G109" s="1"/>
  <c r="H109" s="1"/>
  <c r="I109" s="1"/>
  <c r="J109" s="1"/>
  <c r="K109" s="1"/>
  <c r="L109" s="1"/>
  <c r="M109" s="1"/>
  <c r="D109"/>
  <c r="E107"/>
  <c r="F107" s="1"/>
  <c r="G107" s="1"/>
  <c r="H107" s="1"/>
  <c r="I107" s="1"/>
  <c r="J107" s="1"/>
  <c r="K107" s="1"/>
  <c r="L107" s="1"/>
  <c r="M107" s="1"/>
  <c r="D107"/>
  <c r="M103"/>
  <c r="L103"/>
  <c r="K103"/>
  <c r="J103"/>
  <c r="I103"/>
  <c r="H103"/>
  <c r="G103"/>
  <c r="F103"/>
  <c r="E103"/>
  <c r="D103"/>
  <c r="C103"/>
  <c r="D102"/>
  <c r="E102" s="1"/>
  <c r="F102" s="1"/>
  <c r="G102" s="1"/>
  <c r="H102" s="1"/>
  <c r="I102" s="1"/>
  <c r="J102" s="1"/>
  <c r="K102" s="1"/>
  <c r="L102" s="1"/>
  <c r="M102" s="1"/>
  <c r="B99"/>
  <c r="B97"/>
  <c r="J31" s="1"/>
  <c r="B95"/>
  <c r="B93"/>
  <c r="D92"/>
  <c r="E92" s="1"/>
  <c r="F92" s="1"/>
  <c r="G92" s="1"/>
  <c r="H92" s="1"/>
  <c r="I92" s="1"/>
  <c r="J92" s="1"/>
  <c r="K92" s="1"/>
  <c r="L92" s="1"/>
  <c r="M92" s="1"/>
  <c r="B91"/>
  <c r="E90"/>
  <c r="F90" s="1"/>
  <c r="G90" s="1"/>
  <c r="H90" s="1"/>
  <c r="I90" s="1"/>
  <c r="J90" s="1"/>
  <c r="K90" s="1"/>
  <c r="L90" s="1"/>
  <c r="M90" s="1"/>
  <c r="D90"/>
  <c r="B89"/>
  <c r="J27" s="1"/>
  <c r="D88"/>
  <c r="E88" s="1"/>
  <c r="D86"/>
  <c r="E86" s="1"/>
  <c r="F86" s="1"/>
  <c r="G86" s="1"/>
  <c r="D84"/>
  <c r="E84" s="1"/>
  <c r="F84" s="1"/>
  <c r="G84" s="1"/>
  <c r="D82"/>
  <c r="E82" s="1"/>
  <c r="F82" s="1"/>
  <c r="G82" s="1"/>
  <c r="D80"/>
  <c r="E80" s="1"/>
  <c r="F80" s="1"/>
  <c r="G80" s="1"/>
  <c r="D78"/>
  <c r="E78" s="1"/>
  <c r="F78" s="1"/>
  <c r="G78" s="1"/>
  <c r="B75"/>
  <c r="J14" s="1"/>
  <c r="AC14" s="1"/>
  <c r="B73"/>
  <c r="H13" s="1"/>
  <c r="B71"/>
  <c r="E70"/>
  <c r="F70" s="1"/>
  <c r="G70" s="1"/>
  <c r="H70" s="1"/>
  <c r="I70" s="1"/>
  <c r="J70" s="1"/>
  <c r="K70" s="1"/>
  <c r="L70" s="1"/>
  <c r="M70" s="1"/>
  <c r="D70"/>
  <c r="M68"/>
  <c r="L68"/>
  <c r="K68"/>
  <c r="J68"/>
  <c r="I68"/>
  <c r="H68"/>
  <c r="G68"/>
  <c r="F68"/>
  <c r="E68"/>
  <c r="D68"/>
  <c r="C68"/>
  <c r="F67"/>
  <c r="G67" s="1"/>
  <c r="H67" s="1"/>
  <c r="I67" s="1"/>
  <c r="C64"/>
  <c r="I55"/>
  <c r="J55" s="1"/>
  <c r="G55"/>
  <c r="H55" s="1"/>
  <c r="E55"/>
  <c r="F55" s="1"/>
  <c r="P50"/>
  <c r="P49"/>
  <c r="V48"/>
  <c r="T48"/>
  <c r="R48"/>
  <c r="P48"/>
  <c r="Q47"/>
  <c r="Z47" s="1"/>
  <c r="F47"/>
  <c r="AA47" s="1"/>
  <c r="Q46"/>
  <c r="Z46" s="1"/>
  <c r="J46"/>
  <c r="AC46" s="1"/>
  <c r="H46"/>
  <c r="AB46" s="1"/>
  <c r="F46"/>
  <c r="AA46" s="1"/>
  <c r="Q45"/>
  <c r="Z45" s="1"/>
  <c r="J45"/>
  <c r="AC45" s="1"/>
  <c r="H45"/>
  <c r="AB45" s="1"/>
  <c r="F45"/>
  <c r="AA45" s="1"/>
  <c r="Q44"/>
  <c r="Z44" s="1"/>
  <c r="Q43"/>
  <c r="Z43" s="1"/>
  <c r="Q42"/>
  <c r="Z42" s="1"/>
  <c r="F42"/>
  <c r="C42"/>
  <c r="H42" s="1"/>
  <c r="Q41"/>
  <c r="Z41" s="1"/>
  <c r="J41"/>
  <c r="AC41" s="1"/>
  <c r="H41"/>
  <c r="AB41" s="1"/>
  <c r="F41"/>
  <c r="AA41" s="1"/>
  <c r="Q40"/>
  <c r="Z40" s="1"/>
  <c r="Q39"/>
  <c r="Z39" s="1"/>
  <c r="F39"/>
  <c r="AA39" s="1"/>
  <c r="Q38"/>
  <c r="Z38" s="1"/>
  <c r="J38"/>
  <c r="AC38" s="1"/>
  <c r="H38"/>
  <c r="AB38" s="1"/>
  <c r="F38"/>
  <c r="AA38" s="1"/>
  <c r="Q37"/>
  <c r="Z37" s="1"/>
  <c r="Q36"/>
  <c r="Z36" s="1"/>
  <c r="J36"/>
  <c r="AC36" s="1"/>
  <c r="H36"/>
  <c r="AB36" s="1"/>
  <c r="F36"/>
  <c r="AA36" s="1"/>
  <c r="Q35"/>
  <c r="Z35" s="1"/>
  <c r="J35"/>
  <c r="AC35" s="1"/>
  <c r="H35"/>
  <c r="AB35" s="1"/>
  <c r="F35"/>
  <c r="AA35" s="1"/>
  <c r="Q34"/>
  <c r="Z34" s="1"/>
  <c r="C34"/>
  <c r="F34" s="1"/>
  <c r="Q33"/>
  <c r="Z33" s="1"/>
  <c r="J33"/>
  <c r="AC33" s="1"/>
  <c r="H33"/>
  <c r="AB33" s="1"/>
  <c r="F33"/>
  <c r="AA33" s="1"/>
  <c r="Q32"/>
  <c r="Z32" s="1"/>
  <c r="J32"/>
  <c r="AC32" s="1"/>
  <c r="H32"/>
  <c r="AB32" s="1"/>
  <c r="F32"/>
  <c r="AA32" s="1"/>
  <c r="Q31"/>
  <c r="Z31" s="1"/>
  <c r="H31"/>
  <c r="AB31" s="1"/>
  <c r="Q30"/>
  <c r="Z30" s="1"/>
  <c r="J30"/>
  <c r="AC30" s="1"/>
  <c r="H30"/>
  <c r="AB30" s="1"/>
  <c r="F30"/>
  <c r="AA30" s="1"/>
  <c r="Q29"/>
  <c r="Z29" s="1"/>
  <c r="J29"/>
  <c r="AC29" s="1"/>
  <c r="H29"/>
  <c r="AB29" s="1"/>
  <c r="F29"/>
  <c r="AA29" s="1"/>
  <c r="Q28"/>
  <c r="Z28" s="1"/>
  <c r="J28"/>
  <c r="AC28" s="1"/>
  <c r="H28"/>
  <c r="AB28" s="1"/>
  <c r="F28"/>
  <c r="AA28" s="1"/>
  <c r="Q27"/>
  <c r="Z27" s="1"/>
  <c r="H27"/>
  <c r="AB27" s="1"/>
  <c r="Q25"/>
  <c r="Z25" s="1"/>
  <c r="Q23"/>
  <c r="Z23" s="1"/>
  <c r="J23"/>
  <c r="AC23" s="1"/>
  <c r="H23"/>
  <c r="AB23" s="1"/>
  <c r="F23"/>
  <c r="AA23" s="1"/>
  <c r="C23"/>
  <c r="Q21"/>
  <c r="Z21" s="1"/>
  <c r="J21"/>
  <c r="AC21" s="1"/>
  <c r="H21"/>
  <c r="AB21" s="1"/>
  <c r="F21"/>
  <c r="AA21" s="1"/>
  <c r="C21"/>
  <c r="Q19"/>
  <c r="Z19" s="1"/>
  <c r="J19"/>
  <c r="AC19" s="1"/>
  <c r="H19"/>
  <c r="AB19" s="1"/>
  <c r="F19"/>
  <c r="AA19" s="1"/>
  <c r="C19"/>
  <c r="Q17"/>
  <c r="Z17" s="1"/>
  <c r="J17"/>
  <c r="AC17" s="1"/>
  <c r="H17"/>
  <c r="AB17" s="1"/>
  <c r="F17"/>
  <c r="AA17" s="1"/>
  <c r="C17"/>
  <c r="Q15"/>
  <c r="Z15" s="1"/>
  <c r="J15"/>
  <c r="AC15" s="1"/>
  <c r="H15"/>
  <c r="AB15" s="1"/>
  <c r="F15"/>
  <c r="AA15" s="1"/>
  <c r="C15"/>
  <c r="Q14"/>
  <c r="Z14" s="1"/>
  <c r="H14"/>
  <c r="AB14" s="1"/>
  <c r="F14"/>
  <c r="AA14" s="1"/>
  <c r="Q13"/>
  <c r="Z13" s="1"/>
  <c r="J13"/>
  <c r="AC13" s="1"/>
  <c r="F13"/>
  <c r="AA13" s="1"/>
  <c r="Q12"/>
  <c r="Z12" s="1"/>
  <c r="J12"/>
  <c r="AC12" s="1"/>
  <c r="H12"/>
  <c r="U12" s="1"/>
  <c r="F12"/>
  <c r="AA12" s="1"/>
  <c r="Q11"/>
  <c r="Z11" s="1"/>
  <c r="J11"/>
  <c r="AC11" s="1"/>
  <c r="H11"/>
  <c r="AB11" s="1"/>
  <c r="F11"/>
  <c r="AA11" s="1"/>
  <c r="Q10"/>
  <c r="Z10" s="1"/>
  <c r="J10"/>
  <c r="AC10" s="1"/>
  <c r="H10"/>
  <c r="AB10" s="1"/>
  <c r="F10"/>
  <c r="AA10" s="1"/>
  <c r="Q9"/>
  <c r="Z9" s="1"/>
  <c r="J9"/>
  <c r="AC9" s="1"/>
  <c r="H9"/>
  <c r="AB9" s="1"/>
  <c r="F9"/>
  <c r="AA9" s="1"/>
  <c r="AC8"/>
  <c r="AB8"/>
  <c r="W8"/>
  <c r="S8"/>
  <c r="J8"/>
  <c r="H8"/>
  <c r="U8" s="1"/>
  <c r="F8"/>
  <c r="AA8" s="1"/>
  <c r="D3"/>
  <c r="E2"/>
  <c r="C37" i="21" l="1"/>
  <c r="E37" s="1"/>
  <c r="G37" s="1"/>
  <c r="I37" s="1"/>
  <c r="C37" i="64"/>
  <c r="G37" s="1"/>
  <c r="J42"/>
  <c r="AC42" s="1"/>
  <c r="AA34"/>
  <c r="S34"/>
  <c r="AA42"/>
  <c r="S42"/>
  <c r="H25"/>
  <c r="F25"/>
  <c r="J25"/>
  <c r="F88"/>
  <c r="G88" s="1"/>
  <c r="H88" s="1"/>
  <c r="I88" s="1"/>
  <c r="J88" s="1"/>
  <c r="K88" s="1"/>
  <c r="L88" s="1"/>
  <c r="M88" s="1"/>
  <c r="AC31"/>
  <c r="W31"/>
  <c r="H43"/>
  <c r="F124"/>
  <c r="G124" s="1"/>
  <c r="H124" s="1"/>
  <c r="I124" s="1"/>
  <c r="J124" s="1"/>
  <c r="K124" s="1"/>
  <c r="L124" s="1"/>
  <c r="M124" s="1"/>
  <c r="F43"/>
  <c r="AB47"/>
  <c r="U47"/>
  <c r="J40"/>
  <c r="F40"/>
  <c r="F118"/>
  <c r="G118" s="1"/>
  <c r="H40"/>
  <c r="H37"/>
  <c r="AB42"/>
  <c r="U42"/>
  <c r="AB13"/>
  <c r="U13"/>
  <c r="AC27"/>
  <c r="W27"/>
  <c r="J44"/>
  <c r="F44"/>
  <c r="F126"/>
  <c r="G126" s="1"/>
  <c r="H44"/>
  <c r="W9"/>
  <c r="AB12"/>
  <c r="W13"/>
  <c r="W28"/>
  <c r="S30"/>
  <c r="U31"/>
  <c r="W32"/>
  <c r="S35"/>
  <c r="U36"/>
  <c r="S39"/>
  <c r="W41"/>
  <c r="W45"/>
  <c r="S47"/>
  <c r="U9"/>
  <c r="W10"/>
  <c r="S12"/>
  <c r="W14"/>
  <c r="W15"/>
  <c r="W17"/>
  <c r="W19"/>
  <c r="W21"/>
  <c r="W23"/>
  <c r="F27"/>
  <c r="U28"/>
  <c r="W29"/>
  <c r="F31"/>
  <c r="U32"/>
  <c r="W33"/>
  <c r="J34"/>
  <c r="S36"/>
  <c r="W38"/>
  <c r="U41"/>
  <c r="U45"/>
  <c r="W46"/>
  <c r="S11"/>
  <c r="U27"/>
  <c r="S9"/>
  <c r="U10"/>
  <c r="W11"/>
  <c r="S13"/>
  <c r="U14"/>
  <c r="U15"/>
  <c r="U17"/>
  <c r="U19"/>
  <c r="U21"/>
  <c r="U23"/>
  <c r="S28"/>
  <c r="U29"/>
  <c r="W30"/>
  <c r="S32"/>
  <c r="U33"/>
  <c r="H34"/>
  <c r="W35"/>
  <c r="U38"/>
  <c r="J39"/>
  <c r="S41"/>
  <c r="J43"/>
  <c r="S45"/>
  <c r="U46"/>
  <c r="J47"/>
  <c r="S10"/>
  <c r="U11"/>
  <c r="W12"/>
  <c r="S14"/>
  <c r="S15"/>
  <c r="S17"/>
  <c r="S19"/>
  <c r="S21"/>
  <c r="S23"/>
  <c r="S29"/>
  <c r="U30"/>
  <c r="S33"/>
  <c r="U35"/>
  <c r="W36"/>
  <c r="S38"/>
  <c r="H39"/>
  <c r="S46"/>
  <c r="C2"/>
  <c r="F2" s="1"/>
  <c r="I42" i="34"/>
  <c r="G42"/>
  <c r="E42"/>
  <c r="C42"/>
  <c r="C37"/>
  <c r="G37" s="1"/>
  <c r="C34"/>
  <c r="E37" i="64" l="1"/>
  <c r="F37" s="1"/>
  <c r="I37"/>
  <c r="J37" s="1"/>
  <c r="W37" s="1"/>
  <c r="W42"/>
  <c r="E37" i="34"/>
  <c r="I37"/>
  <c r="AC43" i="64"/>
  <c r="W43"/>
  <c r="AA37"/>
  <c r="S37"/>
  <c r="AA40"/>
  <c r="S40"/>
  <c r="AB43"/>
  <c r="U43"/>
  <c r="AC25"/>
  <c r="W25"/>
  <c r="AC44"/>
  <c r="W44"/>
  <c r="AB37"/>
  <c r="U37"/>
  <c r="AC37"/>
  <c r="AA43"/>
  <c r="S43"/>
  <c r="AB25"/>
  <c r="U25"/>
  <c r="AA27"/>
  <c r="S27"/>
  <c r="AA44"/>
  <c r="S44"/>
  <c r="AC39"/>
  <c r="W39"/>
  <c r="AC34"/>
  <c r="W34"/>
  <c r="AB40"/>
  <c r="U40"/>
  <c r="AB39"/>
  <c r="U39"/>
  <c r="AC47"/>
  <c r="W47"/>
  <c r="AB34"/>
  <c r="U34"/>
  <c r="AA31"/>
  <c r="S31"/>
  <c r="AB44"/>
  <c r="U44"/>
  <c r="AC40"/>
  <c r="W40"/>
  <c r="AA25"/>
  <c r="S25"/>
  <c r="D2" i="4" l="1"/>
  <c r="AH5" i="59" l="1"/>
  <c r="AG5"/>
  <c r="AE5"/>
  <c r="AF5" s="1"/>
  <c r="AD5"/>
  <c r="Q5"/>
  <c r="Q6"/>
  <c r="P5"/>
  <c r="P6"/>
  <c r="O5"/>
  <c r="Y5" s="1"/>
  <c r="Z5" s="1"/>
  <c r="O6"/>
  <c r="N5"/>
  <c r="X5" s="1"/>
  <c r="N6"/>
  <c r="B2" i="48"/>
  <c r="F4" s="1"/>
  <c r="H4" s="1"/>
  <c r="H17"/>
  <c r="D18"/>
  <c r="O7" i="59"/>
  <c r="O8"/>
  <c r="Y6" s="1"/>
  <c r="Z6" s="1"/>
  <c r="N7"/>
  <c r="N8"/>
  <c r="AH6"/>
  <c r="AG6"/>
  <c r="AE6"/>
  <c r="AF6"/>
  <c r="AD6"/>
  <c r="Q7"/>
  <c r="Q8"/>
  <c r="AB5" s="1"/>
  <c r="P7"/>
  <c r="AA5" s="1"/>
  <c r="P8"/>
  <c r="AH7"/>
  <c r="AG7"/>
  <c r="AE7"/>
  <c r="AF7" s="1"/>
  <c r="AD7"/>
  <c r="M15" i="45"/>
  <c r="L15"/>
  <c r="K15"/>
  <c r="J15"/>
  <c r="I15"/>
  <c r="H15"/>
  <c r="G15"/>
  <c r="F15"/>
  <c r="E15"/>
  <c r="D15"/>
  <c r="C15"/>
  <c r="B15"/>
  <c r="AH8" i="59"/>
  <c r="AG8"/>
  <c r="AE8"/>
  <c r="AF8" s="1"/>
  <c r="AD8"/>
  <c r="AH9"/>
  <c r="AG9"/>
  <c r="AE9"/>
  <c r="AF9"/>
  <c r="AD9"/>
  <c r="Q9"/>
  <c r="AB6" s="1"/>
  <c r="P9"/>
  <c r="O9"/>
  <c r="Y7" s="1"/>
  <c r="N9"/>
  <c r="X6" s="1"/>
  <c r="L3"/>
  <c r="AH3" s="1"/>
  <c r="K3"/>
  <c r="J3"/>
  <c r="AE3" s="1"/>
  <c r="AF3" s="1"/>
  <c r="I3"/>
  <c r="AD3"/>
  <c r="AH10"/>
  <c r="AG10"/>
  <c r="AE10"/>
  <c r="AF10"/>
  <c r="AD10"/>
  <c r="Q10"/>
  <c r="Q11"/>
  <c r="AB11" s="1"/>
  <c r="P10"/>
  <c r="AA8" s="1"/>
  <c r="P11"/>
  <c r="O10"/>
  <c r="Y10" s="1"/>
  <c r="Z10" s="1"/>
  <c r="O11"/>
  <c r="N10"/>
  <c r="X10" s="1"/>
  <c r="N11"/>
  <c r="N12"/>
  <c r="O12"/>
  <c r="Y12" s="1"/>
  <c r="Z12" s="1"/>
  <c r="P12"/>
  <c r="Q12"/>
  <c r="AD11"/>
  <c r="AE11"/>
  <c r="AF11" s="1"/>
  <c r="AG11"/>
  <c r="AH11"/>
  <c r="M19" i="43"/>
  <c r="M48" i="15"/>
  <c r="B2" i="1"/>
  <c r="B23"/>
  <c r="J50" i="15"/>
  <c r="J51"/>
  <c r="B25" i="1"/>
  <c r="E19" s="1"/>
  <c r="AH12" i="59"/>
  <c r="AG12"/>
  <c r="AE12"/>
  <c r="AF12" s="1"/>
  <c r="AD12"/>
  <c r="AH13"/>
  <c r="AG13"/>
  <c r="AE13"/>
  <c r="AF13"/>
  <c r="AD13"/>
  <c r="Q13"/>
  <c r="AB10" s="1"/>
  <c r="P13"/>
  <c r="O13"/>
  <c r="Y13" s="1"/>
  <c r="Z13" s="1"/>
  <c r="N13"/>
  <c r="X11" s="1"/>
  <c r="Q14"/>
  <c r="P14"/>
  <c r="O14"/>
  <c r="N14"/>
  <c r="D14"/>
  <c r="E13"/>
  <c r="E12"/>
  <c r="E11" s="1"/>
  <c r="E10" s="1"/>
  <c r="E9" s="1"/>
  <c r="E8" s="1"/>
  <c r="E7" s="1"/>
  <c r="E6" s="1"/>
  <c r="E5" s="1"/>
  <c r="F13"/>
  <c r="V13" s="1"/>
  <c r="C13"/>
  <c r="C12" s="1"/>
  <c r="A2" i="50"/>
  <c r="B16" i="60" s="1"/>
  <c r="D13" i="59"/>
  <c r="K60" i="15"/>
  <c r="P72" s="1"/>
  <c r="A126" i="57"/>
  <c r="A123" i="9"/>
  <c r="A16" i="54"/>
  <c r="B14" i="60" s="1"/>
  <c r="A14" i="54"/>
  <c r="B12" i="60" s="1"/>
  <c r="A19" i="55"/>
  <c r="B49" i="60" s="1"/>
  <c r="A13" i="55"/>
  <c r="A1" i="52"/>
  <c r="A4" i="50"/>
  <c r="P15" i="59"/>
  <c r="AA13" s="1"/>
  <c r="O15"/>
  <c r="N15"/>
  <c r="Q15"/>
  <c r="C76" i="9"/>
  <c r="C77" i="57"/>
  <c r="J56"/>
  <c r="K55" i="9"/>
  <c r="J55"/>
  <c r="I6" i="4"/>
  <c r="J57" i="57" s="1"/>
  <c r="J58" s="1"/>
  <c r="J60" s="1"/>
  <c r="J62" s="1"/>
  <c r="E15" i="62"/>
  <c r="F15"/>
  <c r="E16"/>
  <c r="F16"/>
  <c r="E17"/>
  <c r="F17"/>
  <c r="E18"/>
  <c r="F18"/>
  <c r="E19"/>
  <c r="F19"/>
  <c r="E20"/>
  <c r="F20"/>
  <c r="E21"/>
  <c r="F21"/>
  <c r="E22"/>
  <c r="F22"/>
  <c r="E23"/>
  <c r="F23"/>
  <c r="C14"/>
  <c r="B2" s="1"/>
  <c r="B14"/>
  <c r="B1" s="1"/>
  <c r="B3"/>
  <c r="O16" i="59"/>
  <c r="P16"/>
  <c r="Q16"/>
  <c r="N16"/>
  <c r="AG3"/>
  <c r="AD14"/>
  <c r="AE14"/>
  <c r="AF14"/>
  <c r="AG14"/>
  <c r="AH14"/>
  <c r="AD15"/>
  <c r="AE15"/>
  <c r="AF15" s="1"/>
  <c r="AG15"/>
  <c r="AH15"/>
  <c r="AD16"/>
  <c r="AE16"/>
  <c r="AF16" s="1"/>
  <c r="AG16"/>
  <c r="AH16"/>
  <c r="AD17"/>
  <c r="AE17"/>
  <c r="AF17"/>
  <c r="AG17"/>
  <c r="AH17"/>
  <c r="AD18"/>
  <c r="AE18"/>
  <c r="AF18"/>
  <c r="AG18"/>
  <c r="AH18"/>
  <c r="AD19"/>
  <c r="AE19"/>
  <c r="AF19" s="1"/>
  <c r="AG19"/>
  <c r="AH19"/>
  <c r="AD20"/>
  <c r="AE20"/>
  <c r="AF20" s="1"/>
  <c r="AG20"/>
  <c r="AH20"/>
  <c r="AD21"/>
  <c r="AE21"/>
  <c r="AF21"/>
  <c r="AG21"/>
  <c r="AH21"/>
  <c r="AD22"/>
  <c r="AE22"/>
  <c r="AF22"/>
  <c r="AG22"/>
  <c r="AH22"/>
  <c r="AD23"/>
  <c r="AE23"/>
  <c r="AF23" s="1"/>
  <c r="AG23"/>
  <c r="AH23"/>
  <c r="AD24"/>
  <c r="AE24"/>
  <c r="AF24" s="1"/>
  <c r="AG24"/>
  <c r="AH24"/>
  <c r="AD25"/>
  <c r="AE25"/>
  <c r="AF25"/>
  <c r="AG25"/>
  <c r="AH25"/>
  <c r="AD26"/>
  <c r="AE26"/>
  <c r="AF26"/>
  <c r="AG26"/>
  <c r="AH26"/>
  <c r="AD27"/>
  <c r="AE27"/>
  <c r="AF27" s="1"/>
  <c r="AG27"/>
  <c r="AH27"/>
  <c r="AH28"/>
  <c r="AG28"/>
  <c r="AE28"/>
  <c r="AD28"/>
  <c r="AF28"/>
  <c r="AD29"/>
  <c r="AE29"/>
  <c r="AF29"/>
  <c r="AG29"/>
  <c r="AH29"/>
  <c r="S5" i="31"/>
  <c r="M5"/>
  <c r="N5"/>
  <c r="O5"/>
  <c r="P5"/>
  <c r="Q5"/>
  <c r="R5"/>
  <c r="C1" i="61"/>
  <c r="L1" s="1"/>
  <c r="B68" i="60"/>
  <c r="D28" i="57"/>
  <c r="D29"/>
  <c r="D28" i="9"/>
  <c r="D29"/>
  <c r="A6" i="52"/>
  <c r="B64" i="60" s="1"/>
  <c r="A10" i="54"/>
  <c r="B9" i="60" s="1"/>
  <c r="Y12" i="43"/>
  <c r="Y10"/>
  <c r="AJ9"/>
  <c r="AJ12"/>
  <c r="AI9"/>
  <c r="AI12" s="1"/>
  <c r="AH9"/>
  <c r="AH10" s="1"/>
  <c r="AH12"/>
  <c r="AG9"/>
  <c r="AG12" s="1"/>
  <c r="AF9"/>
  <c r="AF12"/>
  <c r="AE9"/>
  <c r="AE10" s="1"/>
  <c r="AD9"/>
  <c r="AD12"/>
  <c r="AC9"/>
  <c r="AC12" s="1"/>
  <c r="AB9"/>
  <c r="AB12"/>
  <c r="AA9"/>
  <c r="AA12" s="1"/>
  <c r="Z9"/>
  <c r="Z10" s="1"/>
  <c r="Z12"/>
  <c r="AA10"/>
  <c r="AG10"/>
  <c r="AI10"/>
  <c r="AB10"/>
  <c r="AD10"/>
  <c r="AF10"/>
  <c r="AJ10"/>
  <c r="K50" i="57"/>
  <c r="K49" i="9"/>
  <c r="F111" i="57"/>
  <c r="A115"/>
  <c r="A128"/>
  <c r="A112" i="9"/>
  <c r="A125" s="1"/>
  <c r="A8" i="52" s="1"/>
  <c r="B65" i="60" s="1"/>
  <c r="F110" i="9"/>
  <c r="F115" i="57"/>
  <c r="I115" s="1"/>
  <c r="D132" s="1"/>
  <c r="A119"/>
  <c r="A116" i="9"/>
  <c r="F113" i="57"/>
  <c r="I113" s="1"/>
  <c r="D130" s="1"/>
  <c r="A117"/>
  <c r="D117" s="1"/>
  <c r="A114" i="9"/>
  <c r="A127" s="1"/>
  <c r="A10" i="52" s="1"/>
  <c r="B66" i="60" s="1"/>
  <c r="F114" i="9"/>
  <c r="B21" i="50" s="1"/>
  <c r="F112" i="9"/>
  <c r="B18" i="50" s="1"/>
  <c r="B39" s="1"/>
  <c r="B45"/>
  <c r="B59" i="60" s="1"/>
  <c r="D2" i="52"/>
  <c r="B60" i="60" s="1"/>
  <c r="B15" i="50"/>
  <c r="B36" s="1"/>
  <c r="B10"/>
  <c r="B31" s="1"/>
  <c r="C6"/>
  <c r="B18" i="60" s="1"/>
  <c r="A13" i="54"/>
  <c r="B51" i="60"/>
  <c r="B50"/>
  <c r="B47"/>
  <c r="B51" i="10"/>
  <c r="A15" i="55"/>
  <c r="B45" i="60" s="1"/>
  <c r="A14" i="55"/>
  <c r="B44" i="60" s="1"/>
  <c r="B43"/>
  <c r="C10" i="50"/>
  <c r="B24" i="60" s="1"/>
  <c r="C7" i="50"/>
  <c r="C21" s="1"/>
  <c r="B20" i="60"/>
  <c r="C35" i="50"/>
  <c r="C34"/>
  <c r="C33"/>
  <c r="C12"/>
  <c r="C13"/>
  <c r="B13" i="60"/>
  <c r="C42" i="50"/>
  <c r="C36"/>
  <c r="C39"/>
  <c r="I19" i="43"/>
  <c r="A135" i="57"/>
  <c r="F118"/>
  <c r="D78" i="59"/>
  <c r="F77"/>
  <c r="E77"/>
  <c r="E76"/>
  <c r="E75" s="1"/>
  <c r="C77"/>
  <c r="D77" s="1"/>
  <c r="B77"/>
  <c r="B76" s="1"/>
  <c r="B75" s="1"/>
  <c r="F76"/>
  <c r="F75" s="1"/>
  <c r="D74"/>
  <c r="F73"/>
  <c r="E73"/>
  <c r="E72"/>
  <c r="E71" s="1"/>
  <c r="C73"/>
  <c r="D73" s="1"/>
  <c r="B73"/>
  <c r="B72" s="1"/>
  <c r="B71" s="1"/>
  <c r="F72"/>
  <c r="F71" s="1"/>
  <c r="D70"/>
  <c r="Q69"/>
  <c r="P69"/>
  <c r="O69"/>
  <c r="N69"/>
  <c r="F69"/>
  <c r="V69"/>
  <c r="E69"/>
  <c r="U69" s="1"/>
  <c r="C69"/>
  <c r="T69"/>
  <c r="B69"/>
  <c r="S69" s="1"/>
  <c r="Q68"/>
  <c r="P68"/>
  <c r="O68"/>
  <c r="N68"/>
  <c r="F68"/>
  <c r="F67" s="1"/>
  <c r="B68"/>
  <c r="B67" s="1"/>
  <c r="Q67"/>
  <c r="P67"/>
  <c r="O67"/>
  <c r="N67"/>
  <c r="Q66"/>
  <c r="P66"/>
  <c r="O66"/>
  <c r="N66"/>
  <c r="D66"/>
  <c r="Q65"/>
  <c r="P65"/>
  <c r="O65"/>
  <c r="N65"/>
  <c r="F65"/>
  <c r="F64" s="1"/>
  <c r="F63" s="1"/>
  <c r="E65"/>
  <c r="U65" s="1"/>
  <c r="C65"/>
  <c r="T65" s="1"/>
  <c r="B65"/>
  <c r="S65" s="1"/>
  <c r="Q64"/>
  <c r="P64"/>
  <c r="O64"/>
  <c r="N64"/>
  <c r="B64"/>
  <c r="B63" s="1"/>
  <c r="Q63"/>
  <c r="P63"/>
  <c r="O63"/>
  <c r="N63"/>
  <c r="Q62"/>
  <c r="P62"/>
  <c r="O62"/>
  <c r="N62"/>
  <c r="D62"/>
  <c r="S61"/>
  <c r="Q61"/>
  <c r="P61"/>
  <c r="O61"/>
  <c r="N61"/>
  <c r="F61"/>
  <c r="V61" s="1"/>
  <c r="E61"/>
  <c r="C61"/>
  <c r="C60" s="1"/>
  <c r="B61"/>
  <c r="Q60"/>
  <c r="P60"/>
  <c r="O60"/>
  <c r="N60"/>
  <c r="B60"/>
  <c r="B59" s="1"/>
  <c r="Q59"/>
  <c r="P59"/>
  <c r="O59"/>
  <c r="N59"/>
  <c r="Q58"/>
  <c r="P58"/>
  <c r="O58"/>
  <c r="N58"/>
  <c r="D58"/>
  <c r="S57"/>
  <c r="F57"/>
  <c r="V57"/>
  <c r="E57"/>
  <c r="U57" s="1"/>
  <c r="C57"/>
  <c r="D57" s="1"/>
  <c r="B57"/>
  <c r="N57" s="1"/>
  <c r="F56"/>
  <c r="F55" s="1"/>
  <c r="B56"/>
  <c r="D54"/>
  <c r="Q53"/>
  <c r="P53"/>
  <c r="O53"/>
  <c r="N53"/>
  <c r="Q52"/>
  <c r="P52"/>
  <c r="O52"/>
  <c r="N52"/>
  <c r="Q51"/>
  <c r="P51"/>
  <c r="O51"/>
  <c r="N51"/>
  <c r="Q50"/>
  <c r="F51" s="1"/>
  <c r="F52" s="1"/>
  <c r="F53" s="1"/>
  <c r="V53" s="1"/>
  <c r="P50"/>
  <c r="E51" s="1"/>
  <c r="E52" s="1"/>
  <c r="E53" s="1"/>
  <c r="U53" s="1"/>
  <c r="O50"/>
  <c r="C51" s="1"/>
  <c r="N50"/>
  <c r="B51" s="1"/>
  <c r="B52" s="1"/>
  <c r="B53" s="1"/>
  <c r="S53" s="1"/>
  <c r="D50"/>
  <c r="Q49"/>
  <c r="P49"/>
  <c r="O49"/>
  <c r="N49"/>
  <c r="Q48"/>
  <c r="P48"/>
  <c r="O48"/>
  <c r="N48"/>
  <c r="Q47"/>
  <c r="P47"/>
  <c r="O47"/>
  <c r="N47"/>
  <c r="Q46"/>
  <c r="F47" s="1"/>
  <c r="F48" s="1"/>
  <c r="F49" s="1"/>
  <c r="V49" s="1"/>
  <c r="P46"/>
  <c r="E47" s="1"/>
  <c r="E48" s="1"/>
  <c r="E49" s="1"/>
  <c r="U49" s="1"/>
  <c r="O46"/>
  <c r="C47" s="1"/>
  <c r="N46"/>
  <c r="B47" s="1"/>
  <c r="B48" s="1"/>
  <c r="B49" s="1"/>
  <c r="S49" s="1"/>
  <c r="D46"/>
  <c r="Q45"/>
  <c r="P45"/>
  <c r="O45"/>
  <c r="N45"/>
  <c r="Q44"/>
  <c r="P44"/>
  <c r="O44"/>
  <c r="N44"/>
  <c r="Q43"/>
  <c r="P43"/>
  <c r="O43"/>
  <c r="N43"/>
  <c r="Q42"/>
  <c r="F43" s="1"/>
  <c r="F44" s="1"/>
  <c r="F45" s="1"/>
  <c r="V45" s="1"/>
  <c r="P42"/>
  <c r="E43" s="1"/>
  <c r="E44" s="1"/>
  <c r="E45" s="1"/>
  <c r="U45" s="1"/>
  <c r="O42"/>
  <c r="C43" s="1"/>
  <c r="N42"/>
  <c r="B43" s="1"/>
  <c r="B44" s="1"/>
  <c r="B45" s="1"/>
  <c r="S45" s="1"/>
  <c r="D42"/>
  <c r="Q41"/>
  <c r="P41"/>
  <c r="O41"/>
  <c r="N41"/>
  <c r="Q40"/>
  <c r="P40"/>
  <c r="O40"/>
  <c r="N40"/>
  <c r="Q39"/>
  <c r="P39"/>
  <c r="O39"/>
  <c r="N39"/>
  <c r="E39"/>
  <c r="E40" s="1"/>
  <c r="E41" s="1"/>
  <c r="U41" s="1"/>
  <c r="Q38"/>
  <c r="F39" s="1"/>
  <c r="F40" s="1"/>
  <c r="F41" s="1"/>
  <c r="V41" s="1"/>
  <c r="P38"/>
  <c r="O38"/>
  <c r="C39" s="1"/>
  <c r="N38"/>
  <c r="B39" s="1"/>
  <c r="B40" s="1"/>
  <c r="B41" s="1"/>
  <c r="S41" s="1"/>
  <c r="D38"/>
  <c r="T37"/>
  <c r="Q37"/>
  <c r="P37"/>
  <c r="O37"/>
  <c r="N37"/>
  <c r="D37"/>
  <c r="Q36"/>
  <c r="P36"/>
  <c r="O36"/>
  <c r="N36"/>
  <c r="Q35"/>
  <c r="P35"/>
  <c r="O35"/>
  <c r="N35"/>
  <c r="Q34"/>
  <c r="F35" s="1"/>
  <c r="F36" s="1"/>
  <c r="F37" s="1"/>
  <c r="V37" s="1"/>
  <c r="P34"/>
  <c r="E35"/>
  <c r="E36" s="1"/>
  <c r="E37" s="1"/>
  <c r="U37" s="1"/>
  <c r="O34"/>
  <c r="C35" s="1"/>
  <c r="N34"/>
  <c r="B35" s="1"/>
  <c r="B36" s="1"/>
  <c r="B37" s="1"/>
  <c r="S37" s="1"/>
  <c r="D34"/>
  <c r="Q33"/>
  <c r="P33"/>
  <c r="O33"/>
  <c r="N33"/>
  <c r="Q32"/>
  <c r="P32"/>
  <c r="O32"/>
  <c r="N32"/>
  <c r="Q31"/>
  <c r="P31"/>
  <c r="O31"/>
  <c r="N31"/>
  <c r="Q30"/>
  <c r="F31" s="1"/>
  <c r="F32" s="1"/>
  <c r="F33" s="1"/>
  <c r="V33" s="1"/>
  <c r="P30"/>
  <c r="E31" s="1"/>
  <c r="E32" s="1"/>
  <c r="E33" s="1"/>
  <c r="U33" s="1"/>
  <c r="O30"/>
  <c r="C31" s="1"/>
  <c r="N30"/>
  <c r="B31" s="1"/>
  <c r="B32" s="1"/>
  <c r="B33" s="1"/>
  <c r="S33" s="1"/>
  <c r="D30"/>
  <c r="Q29"/>
  <c r="P29"/>
  <c r="O29"/>
  <c r="N29"/>
  <c r="AB28"/>
  <c r="Q28"/>
  <c r="P28"/>
  <c r="AA28" s="1"/>
  <c r="O28"/>
  <c r="Y28" s="1"/>
  <c r="Z28" s="1"/>
  <c r="N28"/>
  <c r="X28" s="1"/>
  <c r="Q27"/>
  <c r="AB27" s="1"/>
  <c r="P27"/>
  <c r="AA27" s="1"/>
  <c r="O27"/>
  <c r="Y27" s="1"/>
  <c r="Z27" s="1"/>
  <c r="N27"/>
  <c r="X27" s="1"/>
  <c r="Q26"/>
  <c r="AB26" s="1"/>
  <c r="P26"/>
  <c r="AA26" s="1"/>
  <c r="O26"/>
  <c r="C27" s="1"/>
  <c r="N26"/>
  <c r="X26" s="1"/>
  <c r="D26"/>
  <c r="Q25"/>
  <c r="AB25" s="1"/>
  <c r="P25"/>
  <c r="AA25" s="1"/>
  <c r="O25"/>
  <c r="Y25" s="1"/>
  <c r="Z25" s="1"/>
  <c r="N25"/>
  <c r="X25" s="1"/>
  <c r="Q24"/>
  <c r="AB24" s="1"/>
  <c r="P24"/>
  <c r="AA24" s="1"/>
  <c r="O24"/>
  <c r="Y24" s="1"/>
  <c r="Z24" s="1"/>
  <c r="N24"/>
  <c r="X24" s="1"/>
  <c r="Q23"/>
  <c r="AB23" s="1"/>
  <c r="P23"/>
  <c r="AA23" s="1"/>
  <c r="O23"/>
  <c r="Y23" s="1"/>
  <c r="Z23" s="1"/>
  <c r="N23"/>
  <c r="X23" s="1"/>
  <c r="Q22"/>
  <c r="AB22" s="1"/>
  <c r="P22"/>
  <c r="AA22" s="1"/>
  <c r="E23"/>
  <c r="E24" s="1"/>
  <c r="E25" s="1"/>
  <c r="U25" s="1"/>
  <c r="O22"/>
  <c r="Y22" s="1"/>
  <c r="Z22" s="1"/>
  <c r="N22"/>
  <c r="B23" s="1"/>
  <c r="B24" s="1"/>
  <c r="B25" s="1"/>
  <c r="S25" s="1"/>
  <c r="D22"/>
  <c r="Q21"/>
  <c r="AB21" s="1"/>
  <c r="P21"/>
  <c r="AA21" s="1"/>
  <c r="O21"/>
  <c r="Y21" s="1"/>
  <c r="Z21" s="1"/>
  <c r="N21"/>
  <c r="X21" s="1"/>
  <c r="Q20"/>
  <c r="AB20" s="1"/>
  <c r="P20"/>
  <c r="AA20" s="1"/>
  <c r="O20"/>
  <c r="Y20" s="1"/>
  <c r="Z20" s="1"/>
  <c r="N20"/>
  <c r="X20" s="1"/>
  <c r="Q19"/>
  <c r="AB19" s="1"/>
  <c r="P19"/>
  <c r="AA19" s="1"/>
  <c r="O19"/>
  <c r="Y19" s="1"/>
  <c r="Z19" s="1"/>
  <c r="N19"/>
  <c r="X19" s="1"/>
  <c r="Q18"/>
  <c r="AB3" s="1"/>
  <c r="P18"/>
  <c r="AA18" s="1"/>
  <c r="O18"/>
  <c r="C19" s="1"/>
  <c r="N18"/>
  <c r="X17" s="1"/>
  <c r="D18"/>
  <c r="O17"/>
  <c r="N17"/>
  <c r="C17"/>
  <c r="D17" s="1"/>
  <c r="Y15"/>
  <c r="Z15" s="1"/>
  <c r="Y16"/>
  <c r="Z16" s="1"/>
  <c r="B17"/>
  <c r="B16" s="1"/>
  <c r="B15" s="1"/>
  <c r="X16"/>
  <c r="P17"/>
  <c r="AA17" s="1"/>
  <c r="U61"/>
  <c r="E60"/>
  <c r="E59" s="1"/>
  <c r="Q17"/>
  <c r="N56"/>
  <c r="B55"/>
  <c r="Q56"/>
  <c r="C56"/>
  <c r="D56" s="1"/>
  <c r="Q57"/>
  <c r="E64"/>
  <c r="E63" s="1"/>
  <c r="D65"/>
  <c r="C68"/>
  <c r="C67" s="1"/>
  <c r="D67" s="1"/>
  <c r="E68"/>
  <c r="E67" s="1"/>
  <c r="D69"/>
  <c r="C72"/>
  <c r="C76"/>
  <c r="D76" s="1"/>
  <c r="S17"/>
  <c r="F17"/>
  <c r="AB14"/>
  <c r="E17"/>
  <c r="E16" s="1"/>
  <c r="E15" s="1"/>
  <c r="AA3"/>
  <c r="D72"/>
  <c r="C71"/>
  <c r="D71" s="1"/>
  <c r="C75"/>
  <c r="D75" s="1"/>
  <c r="D68"/>
  <c r="N54"/>
  <c r="N55"/>
  <c r="F16"/>
  <c r="F15" s="1"/>
  <c r="V17"/>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s="1"/>
  <c r="C18"/>
  <c r="Z21" i="37"/>
  <c r="Q21"/>
  <c r="D77"/>
  <c r="E77" s="1"/>
  <c r="F77" s="1"/>
  <c r="G77" s="1"/>
  <c r="H21"/>
  <c r="AB21" s="1"/>
  <c r="F21"/>
  <c r="AA21" s="1"/>
  <c r="C21"/>
  <c r="Q21" i="34"/>
  <c r="Z21" s="1"/>
  <c r="D84"/>
  <c r="E84" s="1"/>
  <c r="F84" s="1"/>
  <c r="G84" s="1"/>
  <c r="F21"/>
  <c r="S21" s="1"/>
  <c r="C21"/>
  <c r="Q21" i="33"/>
  <c r="Z21" s="1"/>
  <c r="D83"/>
  <c r="E83" s="1"/>
  <c r="F83" s="1"/>
  <c r="G83" s="1"/>
  <c r="H21"/>
  <c r="AB21"/>
  <c r="F21"/>
  <c r="AA21" s="1"/>
  <c r="C21"/>
  <c r="Z21" i="21"/>
  <c r="Q21"/>
  <c r="D83"/>
  <c r="E83"/>
  <c r="F21"/>
  <c r="S21" s="1"/>
  <c r="C21"/>
  <c r="G20" i="20"/>
  <c r="B86" i="43" s="1"/>
  <c r="C22" i="20"/>
  <c r="B66" i="43" s="1"/>
  <c r="AB25" i="40"/>
  <c r="S25"/>
  <c r="S18" i="36"/>
  <c r="W18" i="35"/>
  <c r="U18"/>
  <c r="S18"/>
  <c r="S21" i="37"/>
  <c r="U21" i="33"/>
  <c r="S21"/>
  <c r="J25" i="40"/>
  <c r="J27" i="39"/>
  <c r="H27"/>
  <c r="F27"/>
  <c r="H18" i="36"/>
  <c r="J18"/>
  <c r="J21" i="37"/>
  <c r="H21" i="34"/>
  <c r="AB21" s="1"/>
  <c r="J21" i="33"/>
  <c r="F83" i="21"/>
  <c r="H21"/>
  <c r="U21" s="1"/>
  <c r="F8" i="15"/>
  <c r="F52" s="1"/>
  <c r="F15"/>
  <c r="F16"/>
  <c r="F17"/>
  <c r="F18"/>
  <c r="F20"/>
  <c r="F23"/>
  <c r="D23" s="1"/>
  <c r="F26"/>
  <c r="C27" s="1"/>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F101" i="9" s="1"/>
  <c r="B1" i="4"/>
  <c r="B9" i="49" s="1"/>
  <c r="B2" i="60" s="1"/>
  <c r="C31" i="58"/>
  <c r="C30"/>
  <c r="C27"/>
  <c r="C32" s="1"/>
  <c r="I23"/>
  <c r="D20"/>
  <c r="I19"/>
  <c r="I18"/>
  <c r="I17"/>
  <c r="I20" s="1"/>
  <c r="E15"/>
  <c r="I14"/>
  <c r="I13"/>
  <c r="I12"/>
  <c r="I15" s="1"/>
  <c r="I9"/>
  <c r="I8"/>
  <c r="I7"/>
  <c r="I6"/>
  <c r="I5"/>
  <c r="I4"/>
  <c r="I3"/>
  <c r="I10" s="1"/>
  <c r="G57" i="40"/>
  <c r="C57" s="1"/>
  <c r="G56"/>
  <c r="C56" s="1"/>
  <c r="D1" i="43"/>
  <c r="F113"/>
  <c r="N99"/>
  <c r="N108" s="1"/>
  <c r="M99"/>
  <c r="M108" s="1"/>
  <c r="L99"/>
  <c r="L108" s="1"/>
  <c r="K99"/>
  <c r="K108" s="1"/>
  <c r="J99"/>
  <c r="J108" s="1"/>
  <c r="I99"/>
  <c r="I108" s="1"/>
  <c r="H99"/>
  <c r="H108" s="1"/>
  <c r="G99"/>
  <c r="G108" s="1"/>
  <c r="F99"/>
  <c r="F108" s="1"/>
  <c r="E99"/>
  <c r="E108" s="1"/>
  <c r="D99"/>
  <c r="D108" s="1"/>
  <c r="C99"/>
  <c r="C108" s="1"/>
  <c r="G100"/>
  <c r="D100"/>
  <c r="F100"/>
  <c r="H100"/>
  <c r="L100"/>
  <c r="N100"/>
  <c r="B84"/>
  <c r="B83"/>
  <c r="B72"/>
  <c r="B61"/>
  <c r="B50"/>
  <c r="M78"/>
  <c r="N78"/>
  <c r="K78"/>
  <c r="J78" s="1"/>
  <c r="D78"/>
  <c r="M77"/>
  <c r="N77" s="1"/>
  <c r="K77"/>
  <c r="J77" s="1"/>
  <c r="D77"/>
  <c r="M76"/>
  <c r="N76" s="1"/>
  <c r="K76"/>
  <c r="J76"/>
  <c r="D76"/>
  <c r="M75"/>
  <c r="N75" s="1"/>
  <c r="K75"/>
  <c r="J75" s="1"/>
  <c r="D75"/>
  <c r="M74"/>
  <c r="N74"/>
  <c r="K74"/>
  <c r="J74" s="1"/>
  <c r="D74"/>
  <c r="M73"/>
  <c r="N73" s="1"/>
  <c r="K73"/>
  <c r="J73" s="1"/>
  <c r="D73"/>
  <c r="M72"/>
  <c r="N72" s="1"/>
  <c r="K72"/>
  <c r="J72"/>
  <c r="D72"/>
  <c r="M71"/>
  <c r="N71" s="1"/>
  <c r="K71"/>
  <c r="J71" s="1"/>
  <c r="D71"/>
  <c r="M70"/>
  <c r="N70"/>
  <c r="K70"/>
  <c r="J70" s="1"/>
  <c r="D70"/>
  <c r="M67"/>
  <c r="N67" s="1"/>
  <c r="K67"/>
  <c r="J67" s="1"/>
  <c r="D67"/>
  <c r="M66"/>
  <c r="N66" s="1"/>
  <c r="K66"/>
  <c r="J66"/>
  <c r="D66"/>
  <c r="M65"/>
  <c r="N65" s="1"/>
  <c r="K65"/>
  <c r="J65" s="1"/>
  <c r="D65"/>
  <c r="M64"/>
  <c r="N64"/>
  <c r="K64"/>
  <c r="J64" s="1"/>
  <c r="D64"/>
  <c r="M63"/>
  <c r="N63" s="1"/>
  <c r="K63"/>
  <c r="J63" s="1"/>
  <c r="D63"/>
  <c r="M62"/>
  <c r="N62" s="1"/>
  <c r="K62"/>
  <c r="J62"/>
  <c r="D62"/>
  <c r="M61"/>
  <c r="N61" s="1"/>
  <c r="K61"/>
  <c r="J61" s="1"/>
  <c r="D61"/>
  <c r="M60"/>
  <c r="N60"/>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B27" i="31"/>
  <c r="X27"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D114"/>
  <c r="D113"/>
  <c r="D112"/>
  <c r="I109"/>
  <c r="I108"/>
  <c r="I107"/>
  <c r="I106" s="1"/>
  <c r="D126" s="1"/>
  <c r="D101"/>
  <c r="C101"/>
  <c r="C92"/>
  <c r="E91"/>
  <c r="D90"/>
  <c r="C90" s="1"/>
  <c r="C88" s="1"/>
  <c r="H78"/>
  <c r="D78"/>
  <c r="F60"/>
  <c r="O56"/>
  <c r="E60"/>
  <c r="N56" s="1"/>
  <c r="D60"/>
  <c r="M56" s="1"/>
  <c r="F57"/>
  <c r="K56"/>
  <c r="I56"/>
  <c r="F56"/>
  <c r="O54"/>
  <c r="O55"/>
  <c r="N55"/>
  <c r="N54"/>
  <c r="E49"/>
  <c r="N53"/>
  <c r="D27"/>
  <c r="C24"/>
  <c r="H19"/>
  <c r="A134" s="1"/>
  <c r="D17"/>
  <c r="C17"/>
  <c r="L4"/>
  <c r="K4"/>
  <c r="B32" i="9"/>
  <c r="D32" s="1"/>
  <c r="C23" i="31"/>
  <c r="C2" i="36"/>
  <c r="F2" s="1"/>
  <c r="C2" i="35"/>
  <c r="F2" s="1"/>
  <c r="C2" i="37"/>
  <c r="F2" s="1"/>
  <c r="C2" i="34"/>
  <c r="C2" i="33"/>
  <c r="C2" i="21"/>
  <c r="C2" i="15"/>
  <c r="P73" s="1"/>
  <c r="H19" i="9"/>
  <c r="C108"/>
  <c r="C111" s="1"/>
  <c r="H108" s="1"/>
  <c r="C91"/>
  <c r="I30" i="31"/>
  <c r="C145" i="21"/>
  <c r="K139"/>
  <c r="J142"/>
  <c r="J140"/>
  <c r="E87"/>
  <c r="F87"/>
  <c r="G87"/>
  <c r="H87"/>
  <c r="I87"/>
  <c r="J87"/>
  <c r="K87"/>
  <c r="L87"/>
  <c r="M87"/>
  <c r="D87"/>
  <c r="R30" i="31"/>
  <c r="R31"/>
  <c r="T31" s="1"/>
  <c r="R32"/>
  <c r="R33"/>
  <c r="T33"/>
  <c r="R34"/>
  <c r="R35"/>
  <c r="T35" s="1"/>
  <c r="R36"/>
  <c r="S36" s="1"/>
  <c r="R37"/>
  <c r="T37" s="1"/>
  <c r="R38"/>
  <c r="S38" s="1"/>
  <c r="R39"/>
  <c r="T39" s="1"/>
  <c r="R40"/>
  <c r="S40" s="1"/>
  <c r="R41"/>
  <c r="T41" s="1"/>
  <c r="R42"/>
  <c r="T42" s="1"/>
  <c r="R43"/>
  <c r="T43" s="1"/>
  <c r="R44"/>
  <c r="S44" s="1"/>
  <c r="R45"/>
  <c r="T45" s="1"/>
  <c r="R46"/>
  <c r="T46" s="1"/>
  <c r="R47"/>
  <c r="T47" s="1"/>
  <c r="R48"/>
  <c r="T48" s="1"/>
  <c r="R49"/>
  <c r="R50"/>
  <c r="T50" s="1"/>
  <c r="R51"/>
  <c r="T51" s="1"/>
  <c r="R52"/>
  <c r="S52" s="1"/>
  <c r="R53"/>
  <c r="T53" s="1"/>
  <c r="R54"/>
  <c r="S54" s="1"/>
  <c r="R55"/>
  <c r="T55" s="1"/>
  <c r="R56"/>
  <c r="S56" s="1"/>
  <c r="R57"/>
  <c r="S57" s="1"/>
  <c r="R58"/>
  <c r="T58" s="1"/>
  <c r="R59"/>
  <c r="S59" s="1"/>
  <c r="R60"/>
  <c r="T60" s="1"/>
  <c r="R61"/>
  <c r="R62"/>
  <c r="T62" s="1"/>
  <c r="R63"/>
  <c r="S63" s="1"/>
  <c r="R64"/>
  <c r="T64" s="1"/>
  <c r="R65"/>
  <c r="T65" s="1"/>
  <c r="R66"/>
  <c r="T66" s="1"/>
  <c r="R67"/>
  <c r="T67" s="1"/>
  <c r="R68"/>
  <c r="T68" s="1"/>
  <c r="R69"/>
  <c r="R70"/>
  <c r="T70" s="1"/>
  <c r="R71"/>
  <c r="S71" s="1"/>
  <c r="R72"/>
  <c r="T72" s="1"/>
  <c r="R73"/>
  <c r="S73" s="1"/>
  <c r="R74"/>
  <c r="T74" s="1"/>
  <c r="R75"/>
  <c r="T75" s="1"/>
  <c r="R76"/>
  <c r="S76" s="1"/>
  <c r="R77"/>
  <c r="S77" s="1"/>
  <c r="R78"/>
  <c r="S78" s="1"/>
  <c r="R79"/>
  <c r="T79" s="1"/>
  <c r="R80"/>
  <c r="S80" s="1"/>
  <c r="R81"/>
  <c r="R82"/>
  <c r="T82" s="1"/>
  <c r="R83"/>
  <c r="R84"/>
  <c r="T84" s="1"/>
  <c r="R85"/>
  <c r="T85" s="1"/>
  <c r="R86"/>
  <c r="T86" s="1"/>
  <c r="R87"/>
  <c r="T87" s="1"/>
  <c r="R88"/>
  <c r="T88" s="1"/>
  <c r="R89"/>
  <c r="T89" s="1"/>
  <c r="R90"/>
  <c r="T90" s="1"/>
  <c r="R91"/>
  <c r="T91" s="1"/>
  <c r="R92"/>
  <c r="T92" s="1"/>
  <c r="R93"/>
  <c r="R94"/>
  <c r="T94" s="1"/>
  <c r="R95"/>
  <c r="R96"/>
  <c r="T96" s="1"/>
  <c r="R97"/>
  <c r="R98"/>
  <c r="T98" s="1"/>
  <c r="R99"/>
  <c r="R100"/>
  <c r="T100" s="1"/>
  <c r="R101"/>
  <c r="R102"/>
  <c r="T102" s="1"/>
  <c r="R103"/>
  <c r="T103" s="1"/>
  <c r="R104"/>
  <c r="T104" s="1"/>
  <c r="R105"/>
  <c r="T105" s="1"/>
  <c r="R106"/>
  <c r="T106" s="1"/>
  <c r="R107"/>
  <c r="T107" s="1"/>
  <c r="R108"/>
  <c r="T108" s="1"/>
  <c r="R109"/>
  <c r="T109" s="1"/>
  <c r="R110"/>
  <c r="T110" s="1"/>
  <c r="R111"/>
  <c r="R112"/>
  <c r="T112" s="1"/>
  <c r="R113"/>
  <c r="R114"/>
  <c r="T114" s="1"/>
  <c r="R115"/>
  <c r="T115" s="1"/>
  <c r="R116"/>
  <c r="T116" s="1"/>
  <c r="R117"/>
  <c r="T117" s="1"/>
  <c r="R118"/>
  <c r="S118" s="1"/>
  <c r="R119"/>
  <c r="R120"/>
  <c r="T120" s="1"/>
  <c r="R121"/>
  <c r="R122"/>
  <c r="T122" s="1"/>
  <c r="R123"/>
  <c r="T123" s="1"/>
  <c r="R124"/>
  <c r="T124" s="1"/>
  <c r="R125"/>
  <c r="T125" s="1"/>
  <c r="R126"/>
  <c r="T126" s="1"/>
  <c r="R127"/>
  <c r="R128"/>
  <c r="T128" s="1"/>
  <c r="R129"/>
  <c r="R130"/>
  <c r="T130" s="1"/>
  <c r="R131"/>
  <c r="R132"/>
  <c r="T132" s="1"/>
  <c r="R133"/>
  <c r="R134"/>
  <c r="T134" s="1"/>
  <c r="R135"/>
  <c r="T135" s="1"/>
  <c r="R136"/>
  <c r="S136" s="1"/>
  <c r="R137"/>
  <c r="T137" s="1"/>
  <c r="R138"/>
  <c r="T138" s="1"/>
  <c r="R139"/>
  <c r="T139" s="1"/>
  <c r="R140"/>
  <c r="T140" s="1"/>
  <c r="R141"/>
  <c r="T141" s="1"/>
  <c r="R142"/>
  <c r="T142" s="1"/>
  <c r="R143"/>
  <c r="R144"/>
  <c r="S144" s="1"/>
  <c r="R145"/>
  <c r="R146"/>
  <c r="T146" s="1"/>
  <c r="R147"/>
  <c r="R148"/>
  <c r="T148" s="1"/>
  <c r="R149"/>
  <c r="R150"/>
  <c r="T150" s="1"/>
  <c r="R151"/>
  <c r="T151" s="1"/>
  <c r="R152"/>
  <c r="S152" s="1"/>
  <c r="R153"/>
  <c r="T153" s="1"/>
  <c r="R154"/>
  <c r="S154" s="1"/>
  <c r="R155"/>
  <c r="T155" s="1"/>
  <c r="R156"/>
  <c r="T156" s="1"/>
  <c r="R157"/>
  <c r="T157" s="1"/>
  <c r="R158"/>
  <c r="T158" s="1"/>
  <c r="R159"/>
  <c r="R160"/>
  <c r="T160" s="1"/>
  <c r="R161"/>
  <c r="R162"/>
  <c r="T162" s="1"/>
  <c r="R163"/>
  <c r="R164"/>
  <c r="T164" s="1"/>
  <c r="R165"/>
  <c r="R166"/>
  <c r="T166" s="1"/>
  <c r="R167"/>
  <c r="T167" s="1"/>
  <c r="R168"/>
  <c r="S168" s="1"/>
  <c r="R169"/>
  <c r="T169" s="1"/>
  <c r="R170"/>
  <c r="T170" s="1"/>
  <c r="R171"/>
  <c r="T171" s="1"/>
  <c r="R172"/>
  <c r="T172" s="1"/>
  <c r="R173"/>
  <c r="T173" s="1"/>
  <c r="R174"/>
  <c r="T174" s="1"/>
  <c r="R175"/>
  <c r="R176"/>
  <c r="S176" s="1"/>
  <c r="R177"/>
  <c r="R178"/>
  <c r="T178" s="1"/>
  <c r="R179"/>
  <c r="R180"/>
  <c r="T180" s="1"/>
  <c r="R181"/>
  <c r="R182"/>
  <c r="T182" s="1"/>
  <c r="R183"/>
  <c r="T183" s="1"/>
  <c r="R184"/>
  <c r="S184" s="1"/>
  <c r="R185"/>
  <c r="T185" s="1"/>
  <c r="R186"/>
  <c r="S186" s="1"/>
  <c r="R187"/>
  <c r="T187" s="1"/>
  <c r="R188"/>
  <c r="T188" s="1"/>
  <c r="R189"/>
  <c r="T189" s="1"/>
  <c r="R190"/>
  <c r="T190" s="1"/>
  <c r="R191"/>
  <c r="R192"/>
  <c r="T192" s="1"/>
  <c r="R193"/>
  <c r="R194"/>
  <c r="T194" s="1"/>
  <c r="R195"/>
  <c r="R196"/>
  <c r="T196" s="1"/>
  <c r="R197"/>
  <c r="R198"/>
  <c r="T198" s="1"/>
  <c r="R199"/>
  <c r="T199" s="1"/>
  <c r="R200"/>
  <c r="S200" s="1"/>
  <c r="R201"/>
  <c r="T201" s="1"/>
  <c r="R202"/>
  <c r="T202" s="1"/>
  <c r="R203"/>
  <c r="T203" s="1"/>
  <c r="R204"/>
  <c r="T204" s="1"/>
  <c r="R205"/>
  <c r="T205" s="1"/>
  <c r="R206"/>
  <c r="T206" s="1"/>
  <c r="R207"/>
  <c r="R208"/>
  <c r="S208" s="1"/>
  <c r="R209"/>
  <c r="R210"/>
  <c r="T210" s="1"/>
  <c r="R211"/>
  <c r="R212"/>
  <c r="T212" s="1"/>
  <c r="R213"/>
  <c r="R214"/>
  <c r="T214" s="1"/>
  <c r="R215"/>
  <c r="T215" s="1"/>
  <c r="R216"/>
  <c r="S216" s="1"/>
  <c r="R217"/>
  <c r="T217" s="1"/>
  <c r="R218"/>
  <c r="T218" s="1"/>
  <c r="R219"/>
  <c r="T219" s="1"/>
  <c r="R220"/>
  <c r="T220" s="1"/>
  <c r="R221"/>
  <c r="T221" s="1"/>
  <c r="R222"/>
  <c r="T222" s="1"/>
  <c r="R223"/>
  <c r="R224"/>
  <c r="T224" s="1"/>
  <c r="R225"/>
  <c r="R226"/>
  <c r="T226" s="1"/>
  <c r="R227"/>
  <c r="T227" s="1"/>
  <c r="R228"/>
  <c r="T228" s="1"/>
  <c r="R229"/>
  <c r="R230"/>
  <c r="T230" s="1"/>
  <c r="R231"/>
  <c r="T231" s="1"/>
  <c r="R232"/>
  <c r="T232" s="1"/>
  <c r="R233"/>
  <c r="R234"/>
  <c r="T234" s="1"/>
  <c r="R235"/>
  <c r="T235" s="1"/>
  <c r="R236"/>
  <c r="T236" s="1"/>
  <c r="R237"/>
  <c r="R238"/>
  <c r="S238" s="1"/>
  <c r="R239"/>
  <c r="T239" s="1"/>
  <c r="R240"/>
  <c r="S240" s="1"/>
  <c r="R241"/>
  <c r="R242"/>
  <c r="T242" s="1"/>
  <c r="R243"/>
  <c r="T243" s="1"/>
  <c r="R244"/>
  <c r="T244" s="1"/>
  <c r="R245"/>
  <c r="R246"/>
  <c r="T246" s="1"/>
  <c r="R247"/>
  <c r="T247" s="1"/>
  <c r="R248"/>
  <c r="S248" s="1"/>
  <c r="R249"/>
  <c r="R250"/>
  <c r="T250" s="1"/>
  <c r="R251"/>
  <c r="T251" s="1"/>
  <c r="R252"/>
  <c r="T252" s="1"/>
  <c r="R253"/>
  <c r="R254"/>
  <c r="T254" s="1"/>
  <c r="R255"/>
  <c r="T255" s="1"/>
  <c r="R256"/>
  <c r="T256" s="1"/>
  <c r="R257"/>
  <c r="R258"/>
  <c r="T258" s="1"/>
  <c r="R259"/>
  <c r="S259" s="1"/>
  <c r="R260"/>
  <c r="T260" s="1"/>
  <c r="R261"/>
  <c r="R262"/>
  <c r="T262" s="1"/>
  <c r="R263"/>
  <c r="S263" s="1"/>
  <c r="R264"/>
  <c r="T264" s="1"/>
  <c r="R265"/>
  <c r="T265" s="1"/>
  <c r="R266"/>
  <c r="T266" s="1"/>
  <c r="R267"/>
  <c r="S267" s="1"/>
  <c r="R268"/>
  <c r="T268" s="1"/>
  <c r="R269"/>
  <c r="S269" s="1"/>
  <c r="R270"/>
  <c r="T270" s="1"/>
  <c r="R271"/>
  <c r="S271" s="1"/>
  <c r="R272"/>
  <c r="T272" s="1"/>
  <c r="R273"/>
  <c r="T273" s="1"/>
  <c r="R274"/>
  <c r="T274" s="1"/>
  <c r="R275"/>
  <c r="S275" s="1"/>
  <c r="R276"/>
  <c r="R277"/>
  <c r="T277" s="1"/>
  <c r="R278"/>
  <c r="T278" s="1"/>
  <c r="R279"/>
  <c r="S279" s="1"/>
  <c r="R280"/>
  <c r="T280" s="1"/>
  <c r="R281"/>
  <c r="S281" s="1"/>
  <c r="R282"/>
  <c r="T282" s="1"/>
  <c r="R283"/>
  <c r="S283" s="1"/>
  <c r="R284"/>
  <c r="T284" s="1"/>
  <c r="R285"/>
  <c r="S285" s="1"/>
  <c r="R286"/>
  <c r="S286" s="1"/>
  <c r="R287"/>
  <c r="R288"/>
  <c r="T288" s="1"/>
  <c r="R289"/>
  <c r="S289" s="1"/>
  <c r="R290"/>
  <c r="S290" s="1"/>
  <c r="R291"/>
  <c r="S291" s="1"/>
  <c r="R292"/>
  <c r="T292" s="1"/>
  <c r="R293"/>
  <c r="R294"/>
  <c r="S294" s="1"/>
  <c r="R295"/>
  <c r="S295" s="1"/>
  <c r="R296"/>
  <c r="T296" s="1"/>
  <c r="R297"/>
  <c r="S297" s="1"/>
  <c r="R298"/>
  <c r="T298" s="1"/>
  <c r="R299"/>
  <c r="S299" s="1"/>
  <c r="R300"/>
  <c r="T300" s="1"/>
  <c r="R301"/>
  <c r="T301" s="1"/>
  <c r="R302"/>
  <c r="T302" s="1"/>
  <c r="R303"/>
  <c r="T303" s="1"/>
  <c r="R304"/>
  <c r="T304" s="1"/>
  <c r="R305"/>
  <c r="S305" s="1"/>
  <c r="R306"/>
  <c r="T306" s="1"/>
  <c r="R307"/>
  <c r="S307" s="1"/>
  <c r="R308"/>
  <c r="R309"/>
  <c r="T309" s="1"/>
  <c r="R310"/>
  <c r="T310" s="1"/>
  <c r="R311"/>
  <c r="S311" s="1"/>
  <c r="R312"/>
  <c r="T312" s="1"/>
  <c r="R313"/>
  <c r="S313" s="1"/>
  <c r="R314"/>
  <c r="S314" s="1"/>
  <c r="R315"/>
  <c r="S315" s="1"/>
  <c r="R316"/>
  <c r="T316" s="1"/>
  <c r="R317"/>
  <c r="S317" s="1"/>
  <c r="R318"/>
  <c r="S318" s="1"/>
  <c r="R319"/>
  <c r="R320"/>
  <c r="T320" s="1"/>
  <c r="R321"/>
  <c r="S321" s="1"/>
  <c r="R322"/>
  <c r="T322" s="1"/>
  <c r="R323"/>
  <c r="S323" s="1"/>
  <c r="R324"/>
  <c r="S324" s="1"/>
  <c r="R325"/>
  <c r="T325" s="1"/>
  <c r="R326"/>
  <c r="T326" s="1"/>
  <c r="R327"/>
  <c r="T327" s="1"/>
  <c r="R328"/>
  <c r="T328" s="1"/>
  <c r="R329"/>
  <c r="S329" s="1"/>
  <c r="R330"/>
  <c r="T330" s="1"/>
  <c r="R331"/>
  <c r="T331" s="1"/>
  <c r="R332"/>
  <c r="T332" s="1"/>
  <c r="R333"/>
  <c r="T333" s="1"/>
  <c r="R334"/>
  <c r="T334" s="1"/>
  <c r="R335"/>
  <c r="T335" s="1"/>
  <c r="R336"/>
  <c r="T336" s="1"/>
  <c r="R337"/>
  <c r="T337" s="1"/>
  <c r="R338"/>
  <c r="R339"/>
  <c r="T339" s="1"/>
  <c r="R340"/>
  <c r="T340" s="1"/>
  <c r="R341"/>
  <c r="T341" s="1"/>
  <c r="R342"/>
  <c r="T342" s="1"/>
  <c r="R343"/>
  <c r="T343" s="1"/>
  <c r="R344"/>
  <c r="S344" s="1"/>
  <c r="R345"/>
  <c r="T345" s="1"/>
  <c r="R346"/>
  <c r="T346" s="1"/>
  <c r="R347"/>
  <c r="T347" s="1"/>
  <c r="R348"/>
  <c r="S348" s="1"/>
  <c r="R349"/>
  <c r="R350"/>
  <c r="T350" s="1"/>
  <c r="R351"/>
  <c r="T351" s="1"/>
  <c r="R352"/>
  <c r="T352" s="1"/>
  <c r="R353"/>
  <c r="T353" s="1"/>
  <c r="R354"/>
  <c r="T354" s="1"/>
  <c r="R355"/>
  <c r="T355" s="1"/>
  <c r="R356"/>
  <c r="S356" s="1"/>
  <c r="R357"/>
  <c r="T357" s="1"/>
  <c r="R358"/>
  <c r="T358" s="1"/>
  <c r="R359"/>
  <c r="T359" s="1"/>
  <c r="R360"/>
  <c r="T360" s="1"/>
  <c r="R361"/>
  <c r="T361" s="1"/>
  <c r="R362"/>
  <c r="T362" s="1"/>
  <c r="R363"/>
  <c r="T363" s="1"/>
  <c r="R364"/>
  <c r="T364" s="1"/>
  <c r="R365"/>
  <c r="T365" s="1"/>
  <c r="R366"/>
  <c r="T366" s="1"/>
  <c r="R367"/>
  <c r="T367" s="1"/>
  <c r="R368"/>
  <c r="T368" s="1"/>
  <c r="R369"/>
  <c r="T369" s="1"/>
  <c r="R370"/>
  <c r="R371"/>
  <c r="T371" s="1"/>
  <c r="R372"/>
  <c r="T372" s="1"/>
  <c r="R373"/>
  <c r="T373" s="1"/>
  <c r="R374"/>
  <c r="T374" s="1"/>
  <c r="R375"/>
  <c r="T375" s="1"/>
  <c r="R376"/>
  <c r="T376" s="1"/>
  <c r="R377"/>
  <c r="T377" s="1"/>
  <c r="R378"/>
  <c r="T378" s="1"/>
  <c r="R379"/>
  <c r="T379" s="1"/>
  <c r="R380"/>
  <c r="S380" s="1"/>
  <c r="R381"/>
  <c r="R382"/>
  <c r="T382" s="1"/>
  <c r="R383"/>
  <c r="T383" s="1"/>
  <c r="R384"/>
  <c r="S384" s="1"/>
  <c r="R385"/>
  <c r="T385" s="1"/>
  <c r="R386"/>
  <c r="T386" s="1"/>
  <c r="R387"/>
  <c r="T387" s="1"/>
  <c r="R388"/>
  <c r="T388" s="1"/>
  <c r="R389"/>
  <c r="T389" s="1"/>
  <c r="R390"/>
  <c r="T390" s="1"/>
  <c r="R391"/>
  <c r="T391" s="1"/>
  <c r="R392"/>
  <c r="T392" s="1"/>
  <c r="R393"/>
  <c r="S393" s="1"/>
  <c r="R394"/>
  <c r="T394" s="1"/>
  <c r="R395"/>
  <c r="T395" s="1"/>
  <c r="R396"/>
  <c r="T396" s="1"/>
  <c r="R397"/>
  <c r="T397" s="1"/>
  <c r="R398"/>
  <c r="T398" s="1"/>
  <c r="R399"/>
  <c r="T399" s="1"/>
  <c r="R400"/>
  <c r="T400" s="1"/>
  <c r="R401"/>
  <c r="T401" s="1"/>
  <c r="R402"/>
  <c r="R403"/>
  <c r="T403" s="1"/>
  <c r="R404"/>
  <c r="T404" s="1"/>
  <c r="R405"/>
  <c r="T405" s="1"/>
  <c r="R406"/>
  <c r="T406" s="1"/>
  <c r="R407"/>
  <c r="T407" s="1"/>
  <c r="R408"/>
  <c r="T408" s="1"/>
  <c r="R409"/>
  <c r="T409" s="1"/>
  <c r="R410"/>
  <c r="T410" s="1"/>
  <c r="R411"/>
  <c r="T411" s="1"/>
  <c r="R412"/>
  <c r="T412" s="1"/>
  <c r="R413"/>
  <c r="R414"/>
  <c r="T414" s="1"/>
  <c r="R415"/>
  <c r="T415" s="1"/>
  <c r="R416"/>
  <c r="T416" s="1"/>
  <c r="R417"/>
  <c r="T417" s="1"/>
  <c r="R418"/>
  <c r="T418" s="1"/>
  <c r="R419"/>
  <c r="T419" s="1"/>
  <c r="R420"/>
  <c r="S420" s="1"/>
  <c r="R421"/>
  <c r="T421" s="1"/>
  <c r="R422"/>
  <c r="T422" s="1"/>
  <c r="R423"/>
  <c r="T423" s="1"/>
  <c r="R424"/>
  <c r="T424" s="1"/>
  <c r="R425"/>
  <c r="T425" s="1"/>
  <c r="R426"/>
  <c r="T426" s="1"/>
  <c r="R427"/>
  <c r="T427" s="1"/>
  <c r="R428"/>
  <c r="T428" s="1"/>
  <c r="R429"/>
  <c r="S429" s="1"/>
  <c r="R430"/>
  <c r="T430" s="1"/>
  <c r="R431"/>
  <c r="T431" s="1"/>
  <c r="R432"/>
  <c r="R433"/>
  <c r="T433" s="1"/>
  <c r="R434"/>
  <c r="S434" s="1"/>
  <c r="R435"/>
  <c r="T435" s="1"/>
  <c r="R436"/>
  <c r="T436" s="1"/>
  <c r="R437"/>
  <c r="T437" s="1"/>
  <c r="R438"/>
  <c r="T438" s="1"/>
  <c r="R439"/>
  <c r="R440"/>
  <c r="T440" s="1"/>
  <c r="R441"/>
  <c r="T441" s="1"/>
  <c r="R442"/>
  <c r="S442" s="1"/>
  <c r="R443"/>
  <c r="S443" s="1"/>
  <c r="R444"/>
  <c r="T444" s="1"/>
  <c r="R445"/>
  <c r="T445" s="1"/>
  <c r="R446"/>
  <c r="T446" s="1"/>
  <c r="R447"/>
  <c r="T447" s="1"/>
  <c r="R448"/>
  <c r="R449"/>
  <c r="S449" s="1"/>
  <c r="R450"/>
  <c r="T450" s="1"/>
  <c r="R451"/>
  <c r="T451" s="1"/>
  <c r="R452"/>
  <c r="T452" s="1"/>
  <c r="R453"/>
  <c r="T453" s="1"/>
  <c r="R454"/>
  <c r="S454" s="1"/>
  <c r="R455"/>
  <c r="T455" s="1"/>
  <c r="R456"/>
  <c r="T456" s="1"/>
  <c r="R457"/>
  <c r="T457" s="1"/>
  <c r="R458"/>
  <c r="T458" s="1"/>
  <c r="R459"/>
  <c r="T459" s="1"/>
  <c r="R460"/>
  <c r="R461"/>
  <c r="T461" s="1"/>
  <c r="R462"/>
  <c r="S462" s="1"/>
  <c r="R463"/>
  <c r="T463" s="1"/>
  <c r="R464"/>
  <c r="T464" s="1"/>
  <c r="R465"/>
  <c r="T465" s="1"/>
  <c r="R466"/>
  <c r="S466" s="1"/>
  <c r="R467"/>
  <c r="R468"/>
  <c r="T468" s="1"/>
  <c r="R469"/>
  <c r="T469" s="1"/>
  <c r="R470"/>
  <c r="T470" s="1"/>
  <c r="R471"/>
  <c r="T471" s="1"/>
  <c r="R472"/>
  <c r="T472" s="1"/>
  <c r="R473"/>
  <c r="T473" s="1"/>
  <c r="R474"/>
  <c r="S474" s="1"/>
  <c r="R475"/>
  <c r="R476"/>
  <c r="T476" s="1"/>
  <c r="R477"/>
  <c r="S477" s="1"/>
  <c r="R478"/>
  <c r="S478" s="1"/>
  <c r="R479"/>
  <c r="T479" s="1"/>
  <c r="R480"/>
  <c r="S480" s="1"/>
  <c r="R481"/>
  <c r="T481" s="1"/>
  <c r="R482"/>
  <c r="S482" s="1"/>
  <c r="R483"/>
  <c r="T483" s="1"/>
  <c r="R484"/>
  <c r="T484" s="1"/>
  <c r="R485"/>
  <c r="T485" s="1"/>
  <c r="R486"/>
  <c r="S486" s="1"/>
  <c r="R487"/>
  <c r="T487" s="1"/>
  <c r="R488"/>
  <c r="T488" s="1"/>
  <c r="R489"/>
  <c r="S489" s="1"/>
  <c r="R490"/>
  <c r="S490" s="1"/>
  <c r="R491"/>
  <c r="T491" s="1"/>
  <c r="R492"/>
  <c r="S492" s="1"/>
  <c r="R493"/>
  <c r="S493" s="1"/>
  <c r="R494"/>
  <c r="S494" s="1"/>
  <c r="R495"/>
  <c r="T495" s="1"/>
  <c r="R496"/>
  <c r="T496" s="1"/>
  <c r="R497"/>
  <c r="T497" s="1"/>
  <c r="R498"/>
  <c r="S498" s="1"/>
  <c r="R499"/>
  <c r="T499" s="1"/>
  <c r="R500"/>
  <c r="T500" s="1"/>
  <c r="R501"/>
  <c r="T501" s="1"/>
  <c r="R502"/>
  <c r="T502" s="1"/>
  <c r="R503"/>
  <c r="T503" s="1"/>
  <c r="R504"/>
  <c r="S504" s="1"/>
  <c r="R505"/>
  <c r="T505" s="1"/>
  <c r="R506"/>
  <c r="T506" s="1"/>
  <c r="R507"/>
  <c r="T507" s="1"/>
  <c r="R508"/>
  <c r="T508" s="1"/>
  <c r="R509"/>
  <c r="T509" s="1"/>
  <c r="R510"/>
  <c r="T510" s="1"/>
  <c r="R511"/>
  <c r="R512"/>
  <c r="T512" s="1"/>
  <c r="R513"/>
  <c r="R514"/>
  <c r="S514" s="1"/>
  <c r="R515"/>
  <c r="T515" s="1"/>
  <c r="R516"/>
  <c r="T516" s="1"/>
  <c r="R517"/>
  <c r="T517" s="1"/>
  <c r="R518"/>
  <c r="T518" s="1"/>
  <c r="R519"/>
  <c r="S519" s="1"/>
  <c r="R520"/>
  <c r="T520" s="1"/>
  <c r="R521"/>
  <c r="T521" s="1"/>
  <c r="R522"/>
  <c r="T522" s="1"/>
  <c r="R523"/>
  <c r="S523" s="1"/>
  <c r="R524"/>
  <c r="T524" s="1"/>
  <c r="R525"/>
  <c r="T525" s="1"/>
  <c r="R526"/>
  <c r="T526" s="1"/>
  <c r="R527"/>
  <c r="S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s="1"/>
  <c r="A4" i="55"/>
  <c r="B52" i="60"/>
  <c r="C8" i="11"/>
  <c r="H23" i="48"/>
  <c r="H24"/>
  <c r="D24"/>
  <c r="D21"/>
  <c r="B21" i="49"/>
  <c r="B5" i="60" s="1"/>
  <c r="B12" i="49"/>
  <c r="B3" i="60"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G55" i="40"/>
  <c r="C55" s="1"/>
  <c r="G54"/>
  <c r="C54" s="1"/>
  <c r="G53"/>
  <c r="C53" s="1"/>
  <c r="G52"/>
  <c r="C52" s="1"/>
  <c r="G57" i="39"/>
  <c r="C57" s="1"/>
  <c r="G63"/>
  <c r="G65" s="1"/>
  <c r="C65" s="1"/>
  <c r="G62"/>
  <c r="C62" s="1"/>
  <c r="G61"/>
  <c r="C61" s="1"/>
  <c r="G60"/>
  <c r="C60"/>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c r="C47" s="1"/>
  <c r="D45" s="1"/>
  <c r="F7"/>
  <c r="C7" s="1"/>
  <c r="C5" s="1"/>
  <c r="F12" i="12"/>
  <c r="F13"/>
  <c r="F15"/>
  <c r="E14"/>
  <c r="E19"/>
  <c r="E20"/>
  <c r="E17"/>
  <c r="F22"/>
  <c r="F23"/>
  <c r="F24"/>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E15" s="1"/>
  <c r="F15" s="1"/>
  <c r="G15" s="1"/>
  <c r="H15" s="1"/>
  <c r="I15" s="1"/>
  <c r="J15" s="1"/>
  <c r="K15" s="1"/>
  <c r="L15" s="1"/>
  <c r="M15" s="1"/>
  <c r="N15" s="1"/>
  <c r="O15" s="1"/>
  <c r="P15" s="1"/>
  <c r="Q15" s="1"/>
  <c r="R15" s="1"/>
  <c r="S15" s="1"/>
  <c r="K28"/>
  <c r="D13"/>
  <c r="E13" s="1"/>
  <c r="F13" s="1"/>
  <c r="G13" s="1"/>
  <c r="H13" s="1"/>
  <c r="I13" s="1"/>
  <c r="J13" s="1"/>
  <c r="K13" s="1"/>
  <c r="L13" s="1"/>
  <c r="M13" s="1"/>
  <c r="N13" s="1"/>
  <c r="O13" s="1"/>
  <c r="P13" s="1"/>
  <c r="Q13" s="1"/>
  <c r="R13" s="1"/>
  <c r="S13" s="1"/>
  <c r="D11"/>
  <c r="E11" s="1"/>
  <c r="E28"/>
  <c r="L5"/>
  <c r="K5"/>
  <c r="J5"/>
  <c r="I5"/>
  <c r="H5"/>
  <c r="G5"/>
  <c r="F5"/>
  <c r="E5"/>
  <c r="D5"/>
  <c r="C5"/>
  <c r="S408"/>
  <c r="S316"/>
  <c r="S284"/>
  <c r="S252"/>
  <c r="S250"/>
  <c r="S242"/>
  <c r="S428"/>
  <c r="S224"/>
  <c r="S218"/>
  <c r="S194"/>
  <c r="S178"/>
  <c r="S160"/>
  <c r="S146"/>
  <c r="S128"/>
  <c r="S436"/>
  <c r="S124"/>
  <c r="S116"/>
  <c r="S468"/>
  <c r="S96"/>
  <c r="S516"/>
  <c r="I48" i="37"/>
  <c r="J48"/>
  <c r="G48"/>
  <c r="H48"/>
  <c r="E48"/>
  <c r="F48"/>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s="1"/>
  <c r="G87" s="1"/>
  <c r="H87" s="1"/>
  <c r="I87" s="1"/>
  <c r="J87" s="1"/>
  <c r="K87" s="1"/>
  <c r="L87" s="1"/>
  <c r="M87" s="1"/>
  <c r="H29"/>
  <c r="H34" i="37"/>
  <c r="AB34"/>
  <c r="D101"/>
  <c r="F34"/>
  <c r="AA34" s="1"/>
  <c r="D99"/>
  <c r="E99" s="1"/>
  <c r="F99" s="1"/>
  <c r="G99" s="1"/>
  <c r="H42" i="34"/>
  <c r="U42" s="1"/>
  <c r="J42"/>
  <c r="W42" s="1"/>
  <c r="F42"/>
  <c r="S42" s="1"/>
  <c r="J38"/>
  <c r="AC38" s="1"/>
  <c r="D114"/>
  <c r="D112"/>
  <c r="E112" s="1"/>
  <c r="F112" s="1"/>
  <c r="G112" s="1"/>
  <c r="H112" s="1"/>
  <c r="I112" s="1"/>
  <c r="J112" s="1"/>
  <c r="K112" s="1"/>
  <c r="L112" s="1"/>
  <c r="M112" s="1"/>
  <c r="F40" i="33"/>
  <c r="J41"/>
  <c r="W41"/>
  <c r="D113"/>
  <c r="F37"/>
  <c r="S37" s="1"/>
  <c r="D111"/>
  <c r="E111" s="1"/>
  <c r="F111" s="1"/>
  <c r="G111" s="1"/>
  <c r="H111" s="1"/>
  <c r="I111" s="1"/>
  <c r="J111" s="1"/>
  <c r="K111" s="1"/>
  <c r="L111" s="1"/>
  <c r="M111" s="1"/>
  <c r="S518" i="31"/>
  <c r="S522"/>
  <c r="S524"/>
  <c r="F41" i="21"/>
  <c r="AA41" s="1"/>
  <c r="J41"/>
  <c r="AC41" s="1"/>
  <c r="H41"/>
  <c r="U41" s="1"/>
  <c r="D81" i="39"/>
  <c r="E81" s="1"/>
  <c r="F81" s="1"/>
  <c r="G81" s="1"/>
  <c r="H81" s="1"/>
  <c r="I81" s="1"/>
  <c r="J81" s="1"/>
  <c r="K81" s="1"/>
  <c r="L81" s="1"/>
  <c r="M81" s="1"/>
  <c r="D76" i="40"/>
  <c r="E76" s="1"/>
  <c r="F76" s="1"/>
  <c r="G76" s="1"/>
  <c r="H76" s="1"/>
  <c r="I76" s="1"/>
  <c r="J76" s="1"/>
  <c r="K76" s="1"/>
  <c r="L76" s="1"/>
  <c r="M76" s="1"/>
  <c r="B120"/>
  <c r="B118"/>
  <c r="J39" s="1"/>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s="1"/>
  <c r="H100" s="1"/>
  <c r="I100" s="1"/>
  <c r="J100" s="1"/>
  <c r="K100" s="1"/>
  <c r="L100" s="1"/>
  <c r="M100" s="1"/>
  <c r="D98"/>
  <c r="E98"/>
  <c r="D96"/>
  <c r="E96"/>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H39"/>
  <c r="U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J38" i="39"/>
  <c r="W38"/>
  <c r="H38"/>
  <c r="AB38"/>
  <c r="F38"/>
  <c r="AA38"/>
  <c r="D124"/>
  <c r="E124"/>
  <c r="F124" s="1"/>
  <c r="G124" s="1"/>
  <c r="H124" s="1"/>
  <c r="I124" s="1"/>
  <c r="J124" s="1"/>
  <c r="K124" s="1"/>
  <c r="L124" s="1"/>
  <c r="M124" s="1"/>
  <c r="D120"/>
  <c r="E120"/>
  <c r="F120" s="1"/>
  <c r="G120" s="1"/>
  <c r="H120" s="1"/>
  <c r="I120" s="1"/>
  <c r="J120" s="1"/>
  <c r="K120" s="1"/>
  <c r="L120" s="1"/>
  <c r="M120" s="1"/>
  <c r="B114"/>
  <c r="J37"/>
  <c r="W37" s="1"/>
  <c r="D109"/>
  <c r="F34"/>
  <c r="AA34"/>
  <c r="D107"/>
  <c r="E107"/>
  <c r="F107" s="1"/>
  <c r="G107" s="1"/>
  <c r="H107" s="1"/>
  <c r="I107" s="1"/>
  <c r="J107" s="1"/>
  <c r="K107" s="1"/>
  <c r="L107" s="1"/>
  <c r="M107" s="1"/>
  <c r="D105"/>
  <c r="E105"/>
  <c r="F105" s="1"/>
  <c r="G105" s="1"/>
  <c r="H105" s="1"/>
  <c r="I105" s="1"/>
  <c r="J105" s="1"/>
  <c r="K105" s="1"/>
  <c r="L105" s="1"/>
  <c r="M105" s="1"/>
  <c r="D103"/>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c r="F126" s="1"/>
  <c r="G126" s="1"/>
  <c r="H126" s="1"/>
  <c r="I126" s="1"/>
  <c r="J126" s="1"/>
  <c r="K126" s="1"/>
  <c r="L126" s="1"/>
  <c r="M126" s="1"/>
  <c r="D122"/>
  <c r="E122"/>
  <c r="F122" s="1"/>
  <c r="G122" s="1"/>
  <c r="H122" s="1"/>
  <c r="I122" s="1"/>
  <c r="J122" s="1"/>
  <c r="K122" s="1"/>
  <c r="L122" s="1"/>
  <c r="M122" s="1"/>
  <c r="B104"/>
  <c r="D97"/>
  <c r="D95"/>
  <c r="E95"/>
  <c r="F95" s="1"/>
  <c r="G95" s="1"/>
  <c r="J21"/>
  <c r="AC21"/>
  <c r="D93"/>
  <c r="E93"/>
  <c r="F93" s="1"/>
  <c r="G93" s="1"/>
  <c r="D91"/>
  <c r="E91"/>
  <c r="F91" s="1"/>
  <c r="G91" s="1"/>
  <c r="D89"/>
  <c r="E89"/>
  <c r="F89" s="1"/>
  <c r="G89" s="1"/>
  <c r="B86"/>
  <c r="F14"/>
  <c r="AA14" s="1"/>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s="1"/>
  <c r="U25" s="1"/>
  <c r="B110"/>
  <c r="J39"/>
  <c r="AC39" s="1"/>
  <c r="B108"/>
  <c r="C23"/>
  <c r="C19"/>
  <c r="C17"/>
  <c r="C15"/>
  <c r="B112"/>
  <c r="H40"/>
  <c r="D107"/>
  <c r="E107"/>
  <c r="F107" s="1"/>
  <c r="G107" s="1"/>
  <c r="H107" s="1"/>
  <c r="I107" s="1"/>
  <c r="J107" s="1"/>
  <c r="K107" s="1"/>
  <c r="L107" s="1"/>
  <c r="M107" s="1"/>
  <c r="D105"/>
  <c r="E105"/>
  <c r="F105" s="1"/>
  <c r="G105" s="1"/>
  <c r="D103"/>
  <c r="J35"/>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D73"/>
  <c r="E73"/>
  <c r="J17"/>
  <c r="D71"/>
  <c r="E71" s="1"/>
  <c r="F71" s="1"/>
  <c r="G71" s="1"/>
  <c r="B68"/>
  <c r="H14" s="1"/>
  <c r="B66"/>
  <c r="B64"/>
  <c r="H12" s="1"/>
  <c r="U12" s="1"/>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B91"/>
  <c r="F32"/>
  <c r="B95"/>
  <c r="H34"/>
  <c r="U34" s="1"/>
  <c r="D83"/>
  <c r="E83" s="1"/>
  <c r="F83" s="1"/>
  <c r="G83" s="1"/>
  <c r="H83" s="1"/>
  <c r="I83" s="1"/>
  <c r="J83" s="1"/>
  <c r="K83" s="1"/>
  <c r="L83" s="1"/>
  <c r="M83" s="1"/>
  <c r="D78"/>
  <c r="E78" s="1"/>
  <c r="F78" s="1"/>
  <c r="G78" s="1"/>
  <c r="H78" s="1"/>
  <c r="I78" s="1"/>
  <c r="J78" s="1"/>
  <c r="K78" s="1"/>
  <c r="L78" s="1"/>
  <c r="M78" s="1"/>
  <c r="B75"/>
  <c r="B73"/>
  <c r="B71"/>
  <c r="F23" s="1"/>
  <c r="D70"/>
  <c r="H22"/>
  <c r="AB22" s="1"/>
  <c r="D68"/>
  <c r="E68" s="1"/>
  <c r="F68" s="1"/>
  <c r="G68" s="1"/>
  <c r="D64"/>
  <c r="E64" s="1"/>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S27" s="1"/>
  <c r="J22"/>
  <c r="AC22" s="1"/>
  <c r="B101"/>
  <c r="J36" s="1"/>
  <c r="AC36" s="1"/>
  <c r="B99"/>
  <c r="B97"/>
  <c r="J34" s="1"/>
  <c r="AC34" s="1"/>
  <c r="B77"/>
  <c r="B75"/>
  <c r="B73"/>
  <c r="H23"/>
  <c r="U23" s="1"/>
  <c r="B57"/>
  <c r="B61"/>
  <c r="B59"/>
  <c r="J12" s="1"/>
  <c r="W12" s="1"/>
  <c r="B131" i="34"/>
  <c r="B129"/>
  <c r="B127"/>
  <c r="H45" s="1"/>
  <c r="B99"/>
  <c r="F32" s="1"/>
  <c r="B97"/>
  <c r="B95"/>
  <c r="B93"/>
  <c r="J29" s="1"/>
  <c r="B75"/>
  <c r="B73"/>
  <c r="B71"/>
  <c r="H12" s="1"/>
  <c r="U12" s="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120" i="34"/>
  <c r="E120" s="1"/>
  <c r="F120" s="1"/>
  <c r="G120" s="1"/>
  <c r="H120" s="1"/>
  <c r="I120" s="1"/>
  <c r="J120" s="1"/>
  <c r="K120" s="1"/>
  <c r="L120" s="1"/>
  <c r="M120" s="1"/>
  <c r="D90"/>
  <c r="E90" s="1"/>
  <c r="C15"/>
  <c r="F67"/>
  <c r="G67" s="1"/>
  <c r="H67" s="1"/>
  <c r="I67" s="1"/>
  <c r="D126"/>
  <c r="D124"/>
  <c r="E124" s="1"/>
  <c r="F124" s="1"/>
  <c r="G124" s="1"/>
  <c r="H124" s="1"/>
  <c r="I124" s="1"/>
  <c r="J124" s="1"/>
  <c r="K124" s="1"/>
  <c r="L124" s="1"/>
  <c r="M124" s="1"/>
  <c r="D118"/>
  <c r="E118" s="1"/>
  <c r="F118" s="1"/>
  <c r="G118" s="1"/>
  <c r="D116"/>
  <c r="G110"/>
  <c r="F110"/>
  <c r="E110"/>
  <c r="D110"/>
  <c r="C110"/>
  <c r="D109"/>
  <c r="E109"/>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c r="F92" s="1"/>
  <c r="G92" s="1"/>
  <c r="H92" s="1"/>
  <c r="I92" s="1"/>
  <c r="J92" s="1"/>
  <c r="K92" s="1"/>
  <c r="L92" s="1"/>
  <c r="M92" s="1"/>
  <c r="B91"/>
  <c r="F28" s="1"/>
  <c r="S28" s="1"/>
  <c r="B89"/>
  <c r="D88"/>
  <c r="E88" s="1"/>
  <c r="D86"/>
  <c r="J23" s="1"/>
  <c r="D82"/>
  <c r="H19" s="1"/>
  <c r="D80"/>
  <c r="H17" s="1"/>
  <c r="U17" s="1"/>
  <c r="D78"/>
  <c r="E78"/>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c r="Q44"/>
  <c r="Z44"/>
  <c r="Q43"/>
  <c r="Z43"/>
  <c r="Q42"/>
  <c r="Z42" s="1"/>
  <c r="Q41"/>
  <c r="Z41" s="1"/>
  <c r="Q40"/>
  <c r="Z40" s="1"/>
  <c r="Q39"/>
  <c r="Z39" s="1"/>
  <c r="H39"/>
  <c r="AB39" s="1"/>
  <c r="F39"/>
  <c r="AA39" s="1"/>
  <c r="Q38"/>
  <c r="Z38" s="1"/>
  <c r="Q37"/>
  <c r="Z37" s="1"/>
  <c r="Q36"/>
  <c r="Z36" s="1"/>
  <c r="Q35"/>
  <c r="Z35" s="1"/>
  <c r="Q34"/>
  <c r="Z34" s="1"/>
  <c r="J34"/>
  <c r="AC34" s="1"/>
  <c r="H34"/>
  <c r="U34" s="1"/>
  <c r="F34"/>
  <c r="AA34" s="1"/>
  <c r="Q33"/>
  <c r="Z33" s="1"/>
  <c r="Q32"/>
  <c r="Z32" s="1"/>
  <c r="Q31"/>
  <c r="Z31"/>
  <c r="Q30"/>
  <c r="Z30" s="1"/>
  <c r="Q29"/>
  <c r="Z29" s="1"/>
  <c r="Q28"/>
  <c r="Z28" s="1"/>
  <c r="Q27"/>
  <c r="Z27"/>
  <c r="Q25"/>
  <c r="Z25"/>
  <c r="Q23"/>
  <c r="Z23"/>
  <c r="C23"/>
  <c r="Q19"/>
  <c r="Z19" s="1"/>
  <c r="C19"/>
  <c r="Q17"/>
  <c r="Z17"/>
  <c r="C17"/>
  <c r="Q15"/>
  <c r="Z15" s="1"/>
  <c r="Q14"/>
  <c r="Z14" s="1"/>
  <c r="Q13"/>
  <c r="Z13" s="1"/>
  <c r="Q12"/>
  <c r="Z12" s="1"/>
  <c r="J12"/>
  <c r="Q11"/>
  <c r="Z11" s="1"/>
  <c r="Q10"/>
  <c r="Z10" s="1"/>
  <c r="F10"/>
  <c r="S10" s="1"/>
  <c r="Q9"/>
  <c r="Z9"/>
  <c r="J8"/>
  <c r="W8" s="1"/>
  <c r="H8"/>
  <c r="U8" s="1"/>
  <c r="F8"/>
  <c r="AA8" s="1"/>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s="1"/>
  <c r="H69" s="1"/>
  <c r="I69" s="1"/>
  <c r="J69" s="1"/>
  <c r="K69" s="1"/>
  <c r="L69" s="1"/>
  <c r="M69" s="1"/>
  <c r="H11"/>
  <c r="U11"/>
  <c r="M67"/>
  <c r="L67"/>
  <c r="K67"/>
  <c r="J67"/>
  <c r="I67"/>
  <c r="H67"/>
  <c r="G67"/>
  <c r="F67"/>
  <c r="E67"/>
  <c r="D67"/>
  <c r="C67"/>
  <c r="G66"/>
  <c r="H66" s="1"/>
  <c r="I66" s="1"/>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s="1"/>
  <c r="G18" i="20"/>
  <c r="B88" i="43"/>
  <c r="G19" i="20"/>
  <c r="B85" i="43"/>
  <c r="G16" i="20"/>
  <c r="B82" i="43"/>
  <c r="G15" i="20"/>
  <c r="B81" i="43"/>
  <c r="C24" i="20"/>
  <c r="B52" i="43" s="1"/>
  <c r="C21" i="20"/>
  <c r="C27" i="39" s="1"/>
  <c r="C20" i="20"/>
  <c r="C25" i="39" s="1"/>
  <c r="C18" i="20"/>
  <c r="B71" i="43" s="1"/>
  <c r="C17" i="20"/>
  <c r="B59" i="43" s="1"/>
  <c r="C16" i="20"/>
  <c r="B48" i="43" s="1"/>
  <c r="C15" i="20"/>
  <c r="B70" i="43" s="1"/>
  <c r="E54" i="21"/>
  <c r="F54" s="1"/>
  <c r="I54"/>
  <c r="J54" s="1"/>
  <c r="G54"/>
  <c r="H54" s="1"/>
  <c r="D125"/>
  <c r="E125" s="1"/>
  <c r="D123"/>
  <c r="E123" s="1"/>
  <c r="F123" s="1"/>
  <c r="G123" s="1"/>
  <c r="H123" s="1"/>
  <c r="I123" s="1"/>
  <c r="J123" s="1"/>
  <c r="K123" s="1"/>
  <c r="L123" s="1"/>
  <c r="M123" s="1"/>
  <c r="D119"/>
  <c r="J40" s="1"/>
  <c r="AC40" s="1"/>
  <c r="D117"/>
  <c r="J39" s="1"/>
  <c r="AC39" s="1"/>
  <c r="D115"/>
  <c r="E115" s="1"/>
  <c r="F115" s="1"/>
  <c r="G115" s="1"/>
  <c r="H115" s="1"/>
  <c r="I115" s="1"/>
  <c r="J115" s="1"/>
  <c r="K115" s="1"/>
  <c r="L115" s="1"/>
  <c r="M115" s="1"/>
  <c r="D113"/>
  <c r="E113"/>
  <c r="J37" s="1"/>
  <c r="D110"/>
  <c r="E110" s="1"/>
  <c r="D108"/>
  <c r="F35" s="1"/>
  <c r="AA35" s="1"/>
  <c r="E108"/>
  <c r="F108" s="1"/>
  <c r="G108" s="1"/>
  <c r="H108" s="1"/>
  <c r="I108" s="1"/>
  <c r="J108" s="1"/>
  <c r="K108" s="1"/>
  <c r="L108" s="1"/>
  <c r="M108" s="1"/>
  <c r="D106"/>
  <c r="J34" s="1"/>
  <c r="AC34" s="1"/>
  <c r="D101"/>
  <c r="D89"/>
  <c r="E89"/>
  <c r="H26" s="1"/>
  <c r="AB26"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c r="F85" s="1"/>
  <c r="G85" s="1"/>
  <c r="D81"/>
  <c r="E81"/>
  <c r="F81" s="1"/>
  <c r="G81" s="1"/>
  <c r="D77"/>
  <c r="E77"/>
  <c r="F77" s="1"/>
  <c r="G77" s="1"/>
  <c r="H15"/>
  <c r="AB15" s="1"/>
  <c r="B130"/>
  <c r="B128"/>
  <c r="J45" s="1"/>
  <c r="B126"/>
  <c r="H44" s="1"/>
  <c r="B98"/>
  <c r="B96"/>
  <c r="B94"/>
  <c r="B92"/>
  <c r="B90"/>
  <c r="B74"/>
  <c r="B72"/>
  <c r="H13" s="1"/>
  <c r="B70"/>
  <c r="J12" s="1"/>
  <c r="F10"/>
  <c r="AA10" s="1"/>
  <c r="C19"/>
  <c r="C17"/>
  <c r="C23"/>
  <c r="Q9"/>
  <c r="Z9"/>
  <c r="Q10"/>
  <c r="Z10"/>
  <c r="Q11"/>
  <c r="Z11" s="1"/>
  <c r="Q12"/>
  <c r="Z12" s="1"/>
  <c r="Q13"/>
  <c r="Z13" s="1"/>
  <c r="Q14"/>
  <c r="Z14" s="1"/>
  <c r="Q15"/>
  <c r="Z15"/>
  <c r="Q17"/>
  <c r="Z17"/>
  <c r="Q19"/>
  <c r="Z19"/>
  <c r="Q23"/>
  <c r="Z23"/>
  <c r="Q25"/>
  <c r="Z25"/>
  <c r="Q26"/>
  <c r="Z26"/>
  <c r="Q27"/>
  <c r="Z27"/>
  <c r="Q28"/>
  <c r="Z28" s="1"/>
  <c r="Q29"/>
  <c r="Z29" s="1"/>
  <c r="Q30"/>
  <c r="Z30" s="1"/>
  <c r="Q31"/>
  <c r="Z31" s="1"/>
  <c r="Q32"/>
  <c r="Z32" s="1"/>
  <c r="Q33"/>
  <c r="Z33" s="1"/>
  <c r="Q34"/>
  <c r="Z34" s="1"/>
  <c r="J35"/>
  <c r="AC35" s="1"/>
  <c r="Q35"/>
  <c r="Z35"/>
  <c r="Q36"/>
  <c r="Z36"/>
  <c r="Q37"/>
  <c r="Z37"/>
  <c r="J38"/>
  <c r="W38" s="1"/>
  <c r="Q38"/>
  <c r="Z38" s="1"/>
  <c r="Q39"/>
  <c r="Z39"/>
  <c r="Q40"/>
  <c r="Z40"/>
  <c r="Q41"/>
  <c r="Z41" s="1"/>
  <c r="Q42"/>
  <c r="Z42" s="1"/>
  <c r="Q43"/>
  <c r="Z43" s="1"/>
  <c r="Q44"/>
  <c r="Z44" s="1"/>
  <c r="Q45"/>
  <c r="Z45"/>
  <c r="Q46"/>
  <c r="Z46" s="1"/>
  <c r="P47"/>
  <c r="R47"/>
  <c r="T47"/>
  <c r="V47"/>
  <c r="P48"/>
  <c r="P49"/>
  <c r="F8"/>
  <c r="AA8" s="1"/>
  <c r="E10" i="11"/>
  <c r="E9"/>
  <c r="H38" i="21"/>
  <c r="AB38" s="1"/>
  <c r="F38"/>
  <c r="AA38" s="1"/>
  <c r="H35"/>
  <c r="U35" s="1"/>
  <c r="J8"/>
  <c r="AC8" s="1"/>
  <c r="H8"/>
  <c r="U8" s="1"/>
  <c r="H9"/>
  <c r="AB9" s="1"/>
  <c r="H10"/>
  <c r="AB10" s="1"/>
  <c r="J10"/>
  <c r="AC10" s="1"/>
  <c r="F19"/>
  <c r="AA19" s="1"/>
  <c r="H19"/>
  <c r="U19" s="1"/>
  <c r="J19"/>
  <c r="W19" s="1"/>
  <c r="H12"/>
  <c r="AB12" s="1"/>
  <c r="F26"/>
  <c r="AA26" s="1"/>
  <c r="AB41"/>
  <c r="W41"/>
  <c r="F45" i="39"/>
  <c r="J45"/>
  <c r="W45" s="1"/>
  <c r="J44"/>
  <c r="F36"/>
  <c r="S36"/>
  <c r="H36"/>
  <c r="AB36"/>
  <c r="J36"/>
  <c r="AC36"/>
  <c r="S8"/>
  <c r="U38"/>
  <c r="H32" i="37"/>
  <c r="AB32"/>
  <c r="U8"/>
  <c r="W31"/>
  <c r="F39"/>
  <c r="S39"/>
  <c r="S30"/>
  <c r="W30"/>
  <c r="F29" i="36"/>
  <c r="AA29" s="1"/>
  <c r="F16"/>
  <c r="S16" s="1"/>
  <c r="U22"/>
  <c r="W22"/>
  <c r="AA31"/>
  <c r="AC31"/>
  <c r="W31"/>
  <c r="U31"/>
  <c r="J33"/>
  <c r="W33" s="1"/>
  <c r="AB34"/>
  <c r="H22" i="35"/>
  <c r="AB22"/>
  <c r="U31"/>
  <c r="S32"/>
  <c r="S31"/>
  <c r="W31"/>
  <c r="U32"/>
  <c r="F36" i="34"/>
  <c r="AA36" s="1"/>
  <c r="H39" i="33"/>
  <c r="AB39" s="1"/>
  <c r="F26"/>
  <c r="AA26" s="1"/>
  <c r="S40"/>
  <c r="H39" i="37"/>
  <c r="AB39"/>
  <c r="F11" i="40"/>
  <c r="AA11" s="1"/>
  <c r="S8"/>
  <c r="H11"/>
  <c r="AB11"/>
  <c r="W8"/>
  <c r="U9"/>
  <c r="S34"/>
  <c r="U34"/>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c r="J29"/>
  <c r="AC29"/>
  <c r="F29"/>
  <c r="AA29"/>
  <c r="F11" i="21"/>
  <c r="AA11" s="1"/>
  <c r="H11" i="39"/>
  <c r="AB11" s="1"/>
  <c r="AB39"/>
  <c r="H11" i="21"/>
  <c r="U11" s="1"/>
  <c r="J11"/>
  <c r="AC11" s="1"/>
  <c r="H36" i="40"/>
  <c r="U36"/>
  <c r="F35"/>
  <c r="S35"/>
  <c r="J30"/>
  <c r="W30"/>
  <c r="F30"/>
  <c r="AA30"/>
  <c r="F96"/>
  <c r="G96"/>
  <c r="H96" s="1"/>
  <c r="I96" s="1"/>
  <c r="J96" s="1"/>
  <c r="K96" s="1"/>
  <c r="L96" s="1"/>
  <c r="M96" s="1"/>
  <c r="H27"/>
  <c r="U27" s="1"/>
  <c r="H23"/>
  <c r="AB23"/>
  <c r="J11"/>
  <c r="W11" s="1"/>
  <c r="AB12" i="33"/>
  <c r="AA12"/>
  <c r="S44" i="39"/>
  <c r="F37"/>
  <c r="S37"/>
  <c r="J34" i="36"/>
  <c r="W34" s="1"/>
  <c r="U30"/>
  <c r="F22" i="35"/>
  <c r="AA22"/>
  <c r="H10"/>
  <c r="U10" s="1"/>
  <c r="AB29" i="36"/>
  <c r="F33"/>
  <c r="S33" s="1"/>
  <c r="E85"/>
  <c r="F85"/>
  <c r="G85" s="1"/>
  <c r="H85" s="1"/>
  <c r="I85" s="1"/>
  <c r="J85" s="1"/>
  <c r="K85" s="1"/>
  <c r="L85" s="1"/>
  <c r="M85" s="1"/>
  <c r="J29"/>
  <c r="AC29" s="1"/>
  <c r="F12"/>
  <c r="AA12"/>
  <c r="F34"/>
  <c r="AA34" s="1"/>
  <c r="H20"/>
  <c r="J20"/>
  <c r="W20"/>
  <c r="AB8"/>
  <c r="F14" i="35"/>
  <c r="F23"/>
  <c r="AA23" s="1"/>
  <c r="J32"/>
  <c r="AC32"/>
  <c r="J16"/>
  <c r="W16" s="1"/>
  <c r="H14"/>
  <c r="AB14" s="1"/>
  <c r="H33"/>
  <c r="AB33" s="1"/>
  <c r="S8"/>
  <c r="W8"/>
  <c r="J20"/>
  <c r="W20" s="1"/>
  <c r="H20"/>
  <c r="U20" s="1"/>
  <c r="F20"/>
  <c r="AA20" s="1"/>
  <c r="E101" i="37"/>
  <c r="F101" s="1"/>
  <c r="G101" s="1"/>
  <c r="H101" s="1"/>
  <c r="I101" s="1"/>
  <c r="J101" s="1"/>
  <c r="K101" s="1"/>
  <c r="L101" s="1"/>
  <c r="M101" s="1"/>
  <c r="J34"/>
  <c r="W34"/>
  <c r="AA39"/>
  <c r="J43" i="34"/>
  <c r="W43" s="1"/>
  <c r="H43"/>
  <c r="AB43" s="1"/>
  <c r="H40"/>
  <c r="U40" s="1"/>
  <c r="E114"/>
  <c r="F114" s="1"/>
  <c r="G114" s="1"/>
  <c r="H114" s="1"/>
  <c r="I114" s="1"/>
  <c r="J114" s="1"/>
  <c r="K114" s="1"/>
  <c r="L114" s="1"/>
  <c r="M114" s="1"/>
  <c r="F38"/>
  <c r="AA38" s="1"/>
  <c r="J15"/>
  <c r="AC15" s="1"/>
  <c r="H15"/>
  <c r="AB15" s="1"/>
  <c r="F41" i="33"/>
  <c r="S41"/>
  <c r="E113"/>
  <c r="J34"/>
  <c r="F36"/>
  <c r="S36"/>
  <c r="F25"/>
  <c r="AA25" s="1"/>
  <c r="J25"/>
  <c r="AC25"/>
  <c r="H25"/>
  <c r="AB25" s="1"/>
  <c r="J23"/>
  <c r="AC23" s="1"/>
  <c r="F23"/>
  <c r="AA23" s="1"/>
  <c r="H23"/>
  <c r="F19"/>
  <c r="S19"/>
  <c r="J19"/>
  <c r="W19" s="1"/>
  <c r="J17"/>
  <c r="AC17" s="1"/>
  <c r="H17"/>
  <c r="AB17" s="1"/>
  <c r="J15"/>
  <c r="AC15" s="1"/>
  <c r="F11"/>
  <c r="AA11" s="1"/>
  <c r="W10"/>
  <c r="H10"/>
  <c r="U10" s="1"/>
  <c r="S26"/>
  <c r="U40"/>
  <c r="U8"/>
  <c r="S8"/>
  <c r="F37" i="40"/>
  <c r="AA37"/>
  <c r="F36"/>
  <c r="AA36" s="1"/>
  <c r="J27"/>
  <c r="W27"/>
  <c r="F27"/>
  <c r="S27" s="1"/>
  <c r="F23"/>
  <c r="AA23" s="1"/>
  <c r="AC11"/>
  <c r="AB30" i="36"/>
  <c r="AC34"/>
  <c r="W32" i="35"/>
  <c r="F29"/>
  <c r="S29" s="1"/>
  <c r="U34" i="37"/>
  <c r="H38" i="34"/>
  <c r="U38" s="1"/>
  <c r="F113" i="33"/>
  <c r="G113" s="1"/>
  <c r="H113" s="1"/>
  <c r="I113" s="1"/>
  <c r="J113" s="1"/>
  <c r="K113" s="1"/>
  <c r="L113" s="1"/>
  <c r="M113" s="1"/>
  <c r="H37"/>
  <c r="AB37" s="1"/>
  <c r="AA37"/>
  <c r="H36"/>
  <c r="U36"/>
  <c r="S25"/>
  <c r="F17"/>
  <c r="AA17" s="1"/>
  <c r="H15"/>
  <c r="AB15" s="1"/>
  <c r="AB11"/>
  <c r="AC27" i="40"/>
  <c r="J37" i="33"/>
  <c r="AC37" s="1"/>
  <c r="J36"/>
  <c r="AC36" s="1"/>
  <c r="J11"/>
  <c r="AC11" s="1"/>
  <c r="J10" i="35"/>
  <c r="AC10" s="1"/>
  <c r="J14" i="21"/>
  <c r="W14" s="1"/>
  <c r="F14"/>
  <c r="S14"/>
  <c r="H14"/>
  <c r="AB14" s="1"/>
  <c r="H28"/>
  <c r="AB28" s="1"/>
  <c r="F28"/>
  <c r="AA28" s="1"/>
  <c r="J28"/>
  <c r="W28" s="1"/>
  <c r="H30"/>
  <c r="AB30"/>
  <c r="F30"/>
  <c r="S30" s="1"/>
  <c r="J30"/>
  <c r="W30" s="1"/>
  <c r="J44"/>
  <c r="W44" s="1"/>
  <c r="F44"/>
  <c r="AA44" s="1"/>
  <c r="H46"/>
  <c r="U46" s="1"/>
  <c r="J46"/>
  <c r="W46" s="1"/>
  <c r="F46"/>
  <c r="AA46"/>
  <c r="H26" i="33"/>
  <c r="U26"/>
  <c r="H28"/>
  <c r="U28"/>
  <c r="F28"/>
  <c r="S28"/>
  <c r="J28"/>
  <c r="AC28"/>
  <c r="F33" i="35"/>
  <c r="S33"/>
  <c r="J33"/>
  <c r="AC33"/>
  <c r="F30"/>
  <c r="S30"/>
  <c r="E89"/>
  <c r="F89"/>
  <c r="G89" s="1"/>
  <c r="H89" s="1"/>
  <c r="I89" s="1"/>
  <c r="J89" s="1"/>
  <c r="K89" s="1"/>
  <c r="L89" s="1"/>
  <c r="M89" s="1"/>
  <c r="H10" i="36"/>
  <c r="AB10" s="1"/>
  <c r="F28"/>
  <c r="AA28" s="1"/>
  <c r="J13" i="33"/>
  <c r="AC13" s="1"/>
  <c r="H13"/>
  <c r="AB13" s="1"/>
  <c r="F13"/>
  <c r="S13" s="1"/>
  <c r="J29"/>
  <c r="AC29" s="1"/>
  <c r="H29"/>
  <c r="U29"/>
  <c r="F29"/>
  <c r="S29"/>
  <c r="J31"/>
  <c r="W31"/>
  <c r="H31"/>
  <c r="AB31"/>
  <c r="F31"/>
  <c r="AA31"/>
  <c r="H45"/>
  <c r="U45"/>
  <c r="J45"/>
  <c r="W45"/>
  <c r="F45"/>
  <c r="S45"/>
  <c r="J14" i="34"/>
  <c r="W14"/>
  <c r="F14"/>
  <c r="H14"/>
  <c r="U14" s="1"/>
  <c r="H30"/>
  <c r="AB30" s="1"/>
  <c r="F30"/>
  <c r="S30" s="1"/>
  <c r="J30"/>
  <c r="W30" s="1"/>
  <c r="J32"/>
  <c r="W32" s="1"/>
  <c r="H46"/>
  <c r="U46" s="1"/>
  <c r="F46"/>
  <c r="AA46" s="1"/>
  <c r="J46"/>
  <c r="W46" s="1"/>
  <c r="H11" i="35"/>
  <c r="U11"/>
  <c r="J11"/>
  <c r="AC11"/>
  <c r="F11"/>
  <c r="S11"/>
  <c r="J26" i="36"/>
  <c r="W26"/>
  <c r="H28"/>
  <c r="U28"/>
  <c r="H32"/>
  <c r="AB32"/>
  <c r="J32"/>
  <c r="W32"/>
  <c r="J11"/>
  <c r="AC11" s="1"/>
  <c r="W11"/>
  <c r="H11"/>
  <c r="AB11"/>
  <c r="F11"/>
  <c r="AA11"/>
  <c r="H13"/>
  <c r="AB13"/>
  <c r="J13"/>
  <c r="W13"/>
  <c r="F13"/>
  <c r="S13"/>
  <c r="H36" i="37"/>
  <c r="AB36"/>
  <c r="H37"/>
  <c r="U37"/>
  <c r="H14" i="33"/>
  <c r="U14"/>
  <c r="F14"/>
  <c r="S14" s="1"/>
  <c r="AA14"/>
  <c r="J14"/>
  <c r="AC14"/>
  <c r="H30"/>
  <c r="AB30"/>
  <c r="F30"/>
  <c r="S30"/>
  <c r="J30"/>
  <c r="AC30"/>
  <c r="H44"/>
  <c r="AB44"/>
  <c r="J44"/>
  <c r="AC44"/>
  <c r="F44"/>
  <c r="S44"/>
  <c r="J46"/>
  <c r="W46"/>
  <c r="F46"/>
  <c r="AA46"/>
  <c r="H46"/>
  <c r="AB46"/>
  <c r="H13" i="34"/>
  <c r="U13"/>
  <c r="J13"/>
  <c r="W13"/>
  <c r="F13"/>
  <c r="AA13"/>
  <c r="J31"/>
  <c r="W31" s="1"/>
  <c r="H31"/>
  <c r="AB31" s="1"/>
  <c r="F31"/>
  <c r="S31" s="1"/>
  <c r="J45"/>
  <c r="W45" s="1"/>
  <c r="H47"/>
  <c r="AB47" s="1"/>
  <c r="F47"/>
  <c r="AA47" s="1"/>
  <c r="J47"/>
  <c r="W47" s="1"/>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AC14" i="34"/>
  <c r="J10" i="36"/>
  <c r="AC10"/>
  <c r="U14" i="21"/>
  <c r="S46" i="33"/>
  <c r="AC13" i="36"/>
  <c r="U32"/>
  <c r="AB45" i="33"/>
  <c r="U31"/>
  <c r="W29"/>
  <c r="AB28"/>
  <c r="J41" i="39"/>
  <c r="W41" s="1"/>
  <c r="AC45"/>
  <c r="U36"/>
  <c r="S508" i="31"/>
  <c r="O30"/>
  <c r="O31"/>
  <c r="O29"/>
  <c r="M30"/>
  <c r="M31"/>
  <c r="M29"/>
  <c r="I29"/>
  <c r="I28"/>
  <c r="Q29"/>
  <c r="K29"/>
  <c r="Q30"/>
  <c r="K30"/>
  <c r="I31"/>
  <c r="Q31"/>
  <c r="K31"/>
  <c r="W36" i="33"/>
  <c r="H25" i="21"/>
  <c r="U25" s="1"/>
  <c r="F25"/>
  <c r="AA25" s="1"/>
  <c r="J25"/>
  <c r="AC25" s="1"/>
  <c r="H17" i="37"/>
  <c r="U17" s="1"/>
  <c r="F73"/>
  <c r="G73" s="1"/>
  <c r="F23"/>
  <c r="S23" s="1"/>
  <c r="F32"/>
  <c r="S32" s="1"/>
  <c r="AA36" i="39"/>
  <c r="F39" i="33"/>
  <c r="AA39"/>
  <c r="F42"/>
  <c r="AA42"/>
  <c r="F14" i="36"/>
  <c r="AA14"/>
  <c r="F22"/>
  <c r="AA22"/>
  <c r="F26"/>
  <c r="AA26"/>
  <c r="H35" i="34"/>
  <c r="AB35" s="1"/>
  <c r="F41"/>
  <c r="S41" s="1"/>
  <c r="H41"/>
  <c r="AB41" s="1"/>
  <c r="J41"/>
  <c r="AC41" s="1"/>
  <c r="F10" i="35"/>
  <c r="AA10" s="1"/>
  <c r="H23" i="37"/>
  <c r="AB23"/>
  <c r="J32"/>
  <c r="AC32" s="1"/>
  <c r="F36"/>
  <c r="AA36"/>
  <c r="F37"/>
  <c r="AA37" s="1"/>
  <c r="F31" i="40"/>
  <c r="AA31"/>
  <c r="H31"/>
  <c r="U31" s="1"/>
  <c r="F32"/>
  <c r="S32"/>
  <c r="H32"/>
  <c r="U32" s="1"/>
  <c r="J36"/>
  <c r="W36"/>
  <c r="AB32"/>
  <c r="S36" i="37"/>
  <c r="U23"/>
  <c r="H42" i="33"/>
  <c r="U42"/>
  <c r="J23" i="37"/>
  <c r="W23" s="1"/>
  <c r="U11" i="40"/>
  <c r="AC33" i="36"/>
  <c r="AB20" i="35"/>
  <c r="AA11"/>
  <c r="AC12"/>
  <c r="S28" i="37"/>
  <c r="U39"/>
  <c r="AC8"/>
  <c r="S25"/>
  <c r="AB8" i="34"/>
  <c r="W14" i="33"/>
  <c r="AA13"/>
  <c r="AC31"/>
  <c r="AA30"/>
  <c r="AB10"/>
  <c r="S11"/>
  <c r="AA23" i="37"/>
  <c r="W10" i="36"/>
  <c r="W38" i="37"/>
  <c r="F36" i="35"/>
  <c r="AA36"/>
  <c r="J9" i="37"/>
  <c r="W9" s="1"/>
  <c r="H9"/>
  <c r="AB9" s="1"/>
  <c r="F9"/>
  <c r="AA9" s="1"/>
  <c r="F11"/>
  <c r="S11" s="1"/>
  <c r="J42" i="39"/>
  <c r="AC42" s="1"/>
  <c r="AB27" i="40"/>
  <c r="AC31" i="39"/>
  <c r="U31"/>
  <c r="C12" i="43"/>
  <c r="D15" i="47"/>
  <c r="F15" s="1"/>
  <c r="B13" s="1"/>
  <c r="D17"/>
  <c r="D19"/>
  <c r="D21"/>
  <c r="D23"/>
  <c r="D27"/>
  <c r="D33"/>
  <c r="D37"/>
  <c r="D39"/>
  <c r="D41"/>
  <c r="D43"/>
  <c r="D16"/>
  <c r="D18"/>
  <c r="D20"/>
  <c r="D22"/>
  <c r="D26"/>
  <c r="D28"/>
  <c r="D30"/>
  <c r="D32"/>
  <c r="D34"/>
  <c r="D38"/>
  <c r="D40"/>
  <c r="D42"/>
  <c r="D44"/>
  <c r="D9"/>
  <c r="D8"/>
  <c r="F4"/>
  <c r="B2" s="1"/>
  <c r="D6"/>
  <c r="H19" i="40"/>
  <c r="AB19"/>
  <c r="F19"/>
  <c r="S19" s="1"/>
  <c r="S13"/>
  <c r="S17" i="39"/>
  <c r="AC43"/>
  <c r="W43"/>
  <c r="U45"/>
  <c r="AB45"/>
  <c r="AB44"/>
  <c r="U44"/>
  <c r="G103"/>
  <c r="AC13"/>
  <c r="H37"/>
  <c r="U37" s="1"/>
  <c r="AC37"/>
  <c r="H25"/>
  <c r="U25" s="1"/>
  <c r="J25"/>
  <c r="W25" s="1"/>
  <c r="F25"/>
  <c r="S25" s="1"/>
  <c r="F15"/>
  <c r="AA15" s="1"/>
  <c r="H15"/>
  <c r="U15" s="1"/>
  <c r="J15"/>
  <c r="W15" s="1"/>
  <c r="H41"/>
  <c r="AB41" s="1"/>
  <c r="F11"/>
  <c r="AA11" s="1"/>
  <c r="H21"/>
  <c r="U21" s="1"/>
  <c r="F32"/>
  <c r="S32" s="1"/>
  <c r="W29"/>
  <c r="W19"/>
  <c r="U34"/>
  <c r="S42"/>
  <c r="S41"/>
  <c r="W39"/>
  <c r="W8"/>
  <c r="W21"/>
  <c r="J11"/>
  <c r="W11"/>
  <c r="J32"/>
  <c r="AC32"/>
  <c r="E66"/>
  <c r="E61" i="40"/>
  <c r="F34" i="43"/>
  <c r="C21" i="11"/>
  <c r="H55" i="39"/>
  <c r="S30" i="40"/>
  <c r="G60"/>
  <c r="C60" s="1"/>
  <c r="H16" i="44"/>
  <c r="D17" i="43"/>
  <c r="I17"/>
  <c r="D108" i="9"/>
  <c r="F22" i="43"/>
  <c r="B56" i="60"/>
  <c r="G22" i="43"/>
  <c r="E22"/>
  <c r="H14" i="44"/>
  <c r="B57" i="60"/>
  <c r="W40" i="39"/>
  <c r="AC20" i="35"/>
  <c r="S39" i="34"/>
  <c r="AB12"/>
  <c r="AC30"/>
  <c r="H23"/>
  <c r="AB23" s="1"/>
  <c r="F33"/>
  <c r="S33" s="1"/>
  <c r="F109"/>
  <c r="G109" s="1"/>
  <c r="H109" s="1"/>
  <c r="I109" s="1"/>
  <c r="J109" s="1"/>
  <c r="K109" s="1"/>
  <c r="L109" s="1"/>
  <c r="M109" s="1"/>
  <c r="H36"/>
  <c r="AB36" s="1"/>
  <c r="F35"/>
  <c r="AA35" s="1"/>
  <c r="J35"/>
  <c r="AC35" s="1"/>
  <c r="J33"/>
  <c r="W33" s="1"/>
  <c r="J37"/>
  <c r="AC37" s="1"/>
  <c r="J26" i="35"/>
  <c r="W26" s="1"/>
  <c r="F26"/>
  <c r="AA26" s="1"/>
  <c r="H26"/>
  <c r="U26" s="1"/>
  <c r="K145" i="21"/>
  <c r="K144"/>
  <c r="K141"/>
  <c r="K143"/>
  <c r="B101" i="9"/>
  <c r="C114" s="1"/>
  <c r="H112" s="1"/>
  <c r="F23" i="21"/>
  <c r="AA23" s="1"/>
  <c r="J23"/>
  <c r="AC23" s="1"/>
  <c r="H23"/>
  <c r="AB23" s="1"/>
  <c r="F17"/>
  <c r="S17" s="1"/>
  <c r="J17"/>
  <c r="AC17"/>
  <c r="H17"/>
  <c r="U17" s="1"/>
  <c r="J15"/>
  <c r="W15" s="1"/>
  <c r="A131" i="9"/>
  <c r="A14" i="52" s="1"/>
  <c r="B61" i="60" s="1"/>
  <c r="B102" i="57"/>
  <c r="B106" s="1"/>
  <c r="C111"/>
  <c r="C112" s="1"/>
  <c r="H107" s="1"/>
  <c r="D127"/>
  <c r="S23" i="21"/>
  <c r="W17"/>
  <c r="AC15"/>
  <c r="B113" i="43"/>
  <c r="I118"/>
  <c r="J118" s="1"/>
  <c r="K118" s="1"/>
  <c r="L118" s="1"/>
  <c r="M118" s="1"/>
  <c r="M101"/>
  <c r="M103"/>
  <c r="K101"/>
  <c r="K109"/>
  <c r="I101"/>
  <c r="I102"/>
  <c r="G101"/>
  <c r="G107"/>
  <c r="E101"/>
  <c r="E109"/>
  <c r="C101"/>
  <c r="C109"/>
  <c r="N101"/>
  <c r="N107"/>
  <c r="L101"/>
  <c r="L107"/>
  <c r="J101"/>
  <c r="J103"/>
  <c r="H101"/>
  <c r="H109"/>
  <c r="F101"/>
  <c r="F102"/>
  <c r="D101"/>
  <c r="D107"/>
  <c r="S339" i="31"/>
  <c r="S139"/>
  <c r="C18" i="57"/>
  <c r="D18" s="1"/>
  <c r="D47" i="15"/>
  <c r="AB12" i="37"/>
  <c r="J37"/>
  <c r="W37" s="1"/>
  <c r="AB40"/>
  <c r="U40"/>
  <c r="AA16" i="35"/>
  <c r="S14" i="39"/>
  <c r="AB29" i="35"/>
  <c r="U29"/>
  <c r="AA35" i="39"/>
  <c r="U25" i="35"/>
  <c r="W44" i="33"/>
  <c r="U36" i="37"/>
  <c r="AB46" i="34"/>
  <c r="S14"/>
  <c r="AA14"/>
  <c r="F40"/>
  <c r="S40" s="1"/>
  <c r="U20" i="36"/>
  <c r="AB20"/>
  <c r="AA16"/>
  <c r="AC44" i="39"/>
  <c r="W44"/>
  <c r="F45" i="21"/>
  <c r="S45" s="1"/>
  <c r="B41" i="47"/>
  <c r="C23" i="40"/>
  <c r="AC8" i="34"/>
  <c r="W12"/>
  <c r="AC12"/>
  <c r="J9"/>
  <c r="W9" s="1"/>
  <c r="F9"/>
  <c r="S9"/>
  <c r="AA9" i="36"/>
  <c r="S9"/>
  <c r="J12"/>
  <c r="W12"/>
  <c r="H12"/>
  <c r="AB12"/>
  <c r="AA9" i="39"/>
  <c r="S9"/>
  <c r="AB12"/>
  <c r="U12"/>
  <c r="J12"/>
  <c r="F12"/>
  <c r="S12" s="1"/>
  <c r="R29" i="31"/>
  <c r="T29" s="1"/>
  <c r="F15" i="21"/>
  <c r="AA15" s="1"/>
  <c r="S15"/>
  <c r="AA30"/>
  <c r="J36" i="34"/>
  <c r="W36" s="1"/>
  <c r="S8"/>
  <c r="J19" i="40"/>
  <c r="AC19" s="1"/>
  <c r="W9" i="39"/>
  <c r="U14"/>
  <c r="H32"/>
  <c r="U32" s="1"/>
  <c r="F21"/>
  <c r="AA21" s="1"/>
  <c r="F37" i="47"/>
  <c r="B35" s="1"/>
  <c r="F31" i="37"/>
  <c r="AA31" s="1"/>
  <c r="U25" i="36"/>
  <c r="S44" i="21"/>
  <c r="AC36" i="40"/>
  <c r="F17" i="37"/>
  <c r="AA17"/>
  <c r="AA29" i="33"/>
  <c r="AB28" i="36"/>
  <c r="AB13" i="40"/>
  <c r="U33"/>
  <c r="S12"/>
  <c r="AB13" i="37"/>
  <c r="U44" i="33"/>
  <c r="U11" i="36"/>
  <c r="AB11" i="35"/>
  <c r="AA30" i="34"/>
  <c r="J14" i="36"/>
  <c r="AC14"/>
  <c r="AC30" i="21"/>
  <c r="S15" i="34"/>
  <c r="J40"/>
  <c r="AC40" s="1"/>
  <c r="S37" i="40"/>
  <c r="H19" i="33"/>
  <c r="AB19"/>
  <c r="AB23"/>
  <c r="U23"/>
  <c r="W23"/>
  <c r="AA41"/>
  <c r="AC30" i="40"/>
  <c r="AB17" i="39"/>
  <c r="W22" i="35"/>
  <c r="S30" i="36"/>
  <c r="F34" i="21"/>
  <c r="S34" s="1"/>
  <c r="H34"/>
  <c r="AB34" s="1"/>
  <c r="E101" i="33"/>
  <c r="F32"/>
  <c r="AA32" s="1"/>
  <c r="H9" i="34"/>
  <c r="U9" s="1"/>
  <c r="H28"/>
  <c r="U28" s="1"/>
  <c r="E116"/>
  <c r="F116" s="1"/>
  <c r="G116" s="1"/>
  <c r="H116" s="1"/>
  <c r="I116" s="1"/>
  <c r="J116" s="1"/>
  <c r="K116" s="1"/>
  <c r="L116" s="1"/>
  <c r="M116" s="1"/>
  <c r="J39"/>
  <c r="W39" s="1"/>
  <c r="J27" i="36"/>
  <c r="F37" i="34"/>
  <c r="AA37" s="1"/>
  <c r="H37"/>
  <c r="U37" s="1"/>
  <c r="F26" i="47"/>
  <c r="B24"/>
  <c r="AA32" i="37"/>
  <c r="AB12" i="40"/>
  <c r="U12"/>
  <c r="AC14" i="39"/>
  <c r="AC46" i="34"/>
  <c r="S31" i="33"/>
  <c r="U10" i="36"/>
  <c r="W28" i="33"/>
  <c r="W34"/>
  <c r="AC34"/>
  <c r="AA14" i="35"/>
  <c r="S14"/>
  <c r="S45" i="39"/>
  <c r="AA45"/>
  <c r="H27" i="21"/>
  <c r="AB27" s="1"/>
  <c r="J27"/>
  <c r="W27" s="1"/>
  <c r="F27"/>
  <c r="AA27" s="1"/>
  <c r="J29"/>
  <c r="W29" s="1"/>
  <c r="H29"/>
  <c r="U29" s="1"/>
  <c r="F29"/>
  <c r="S29" s="1"/>
  <c r="J31"/>
  <c r="W31"/>
  <c r="H31"/>
  <c r="F31"/>
  <c r="AA31" s="1"/>
  <c r="H39"/>
  <c r="U39" s="1"/>
  <c r="AA15" i="33"/>
  <c r="S15"/>
  <c r="AA35"/>
  <c r="E117"/>
  <c r="F117"/>
  <c r="G117" s="1"/>
  <c r="J39"/>
  <c r="AC39" s="1"/>
  <c r="E125"/>
  <c r="H43"/>
  <c r="U43"/>
  <c r="E91"/>
  <c r="F91"/>
  <c r="G91" s="1"/>
  <c r="H91" s="1"/>
  <c r="I91" s="1"/>
  <c r="J91" s="1"/>
  <c r="K91" s="1"/>
  <c r="L91" s="1"/>
  <c r="M91" s="1"/>
  <c r="F27"/>
  <c r="S27" s="1"/>
  <c r="H41"/>
  <c r="U41" s="1"/>
  <c r="AA11" i="34"/>
  <c r="S1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F32"/>
  <c r="S32" s="1"/>
  <c r="J32"/>
  <c r="AC32" s="1"/>
  <c r="H32"/>
  <c r="U32" s="1"/>
  <c r="H40"/>
  <c r="AB40" s="1"/>
  <c r="B44" i="47"/>
  <c r="C21" i="40"/>
  <c r="AC33" i="33"/>
  <c r="W33"/>
  <c r="S34"/>
  <c r="AA38"/>
  <c r="S38"/>
  <c r="AC38"/>
  <c r="W38"/>
  <c r="J9"/>
  <c r="AC9" s="1"/>
  <c r="F9"/>
  <c r="AA9" s="1"/>
  <c r="AA10" i="34"/>
  <c r="E126"/>
  <c r="F126" s="1"/>
  <c r="G126" s="1"/>
  <c r="H44"/>
  <c r="AB44" s="1"/>
  <c r="W9" i="36"/>
  <c r="AB26"/>
  <c r="U26"/>
  <c r="U9"/>
  <c r="F20"/>
  <c r="AA20"/>
  <c r="J24"/>
  <c r="W24"/>
  <c r="H24"/>
  <c r="U24"/>
  <c r="F24"/>
  <c r="AA24"/>
  <c r="AA32"/>
  <c r="S32"/>
  <c r="J26" i="37"/>
  <c r="AC26"/>
  <c r="H26"/>
  <c r="AB26"/>
  <c r="F26"/>
  <c r="AA26"/>
  <c r="J23" i="39"/>
  <c r="W23"/>
  <c r="E97"/>
  <c r="H15" i="37"/>
  <c r="AB15" s="1"/>
  <c r="F15"/>
  <c r="AA15" s="1"/>
  <c r="F38" i="40"/>
  <c r="AA38" s="1"/>
  <c r="J38"/>
  <c r="W38" s="1"/>
  <c r="H38"/>
  <c r="AB38" s="1"/>
  <c r="J40"/>
  <c r="AC40" s="1"/>
  <c r="H40"/>
  <c r="AB40" s="1"/>
  <c r="F40"/>
  <c r="AA40" s="1"/>
  <c r="N6" i="43"/>
  <c r="F70"/>
  <c r="H78" s="1"/>
  <c r="M1"/>
  <c r="F33" i="9"/>
  <c r="C25" i="57"/>
  <c r="F107" i="43"/>
  <c r="N102"/>
  <c r="C102"/>
  <c r="G103"/>
  <c r="K104"/>
  <c r="D103"/>
  <c r="H106"/>
  <c r="E103"/>
  <c r="M105"/>
  <c r="F59"/>
  <c r="H63" s="1"/>
  <c r="G15" i="47"/>
  <c r="W40" i="40"/>
  <c r="AB24" i="36"/>
  <c r="AB35" i="39"/>
  <c r="AC40" i="37"/>
  <c r="AC36"/>
  <c r="AA34" i="35"/>
  <c r="S34"/>
  <c r="AB24"/>
  <c r="J17" i="34"/>
  <c r="AC17" s="1"/>
  <c r="H27" i="33"/>
  <c r="AB27" s="1"/>
  <c r="F43"/>
  <c r="S43" s="1"/>
  <c r="F125"/>
  <c r="G125" s="1"/>
  <c r="J43"/>
  <c r="AC43" s="1"/>
  <c r="AB31" i="21"/>
  <c r="U31"/>
  <c r="AA29"/>
  <c r="H27" i="36"/>
  <c r="AB27"/>
  <c r="F27"/>
  <c r="AA27"/>
  <c r="H11" i="34"/>
  <c r="U11" s="1"/>
  <c r="S17" i="37"/>
  <c r="J11"/>
  <c r="AC11"/>
  <c r="W12" i="39"/>
  <c r="AC12"/>
  <c r="AC37" i="37"/>
  <c r="F23" i="39"/>
  <c r="AA23"/>
  <c r="F97"/>
  <c r="G97"/>
  <c r="S26" i="37"/>
  <c r="S24" i="36"/>
  <c r="F44" i="34"/>
  <c r="AA44" s="1"/>
  <c r="J44"/>
  <c r="AC44" s="1"/>
  <c r="W27" i="37"/>
  <c r="AB27"/>
  <c r="H60"/>
  <c r="I60" s="1"/>
  <c r="H10"/>
  <c r="U10"/>
  <c r="AA27" i="33"/>
  <c r="AB43"/>
  <c r="AB29" i="21"/>
  <c r="AC27" i="36"/>
  <c r="W27"/>
  <c r="F101" i="33"/>
  <c r="G101"/>
  <c r="H101" s="1"/>
  <c r="I101" s="1"/>
  <c r="J101" s="1"/>
  <c r="K101" s="1"/>
  <c r="L101" s="1"/>
  <c r="M101" s="1"/>
  <c r="J32"/>
  <c r="W32"/>
  <c r="H32"/>
  <c r="AB32"/>
  <c r="U12" i="36"/>
  <c r="S27"/>
  <c r="J10" i="37"/>
  <c r="AC10" s="1"/>
  <c r="H23" i="39"/>
  <c r="AB23" s="1"/>
  <c r="J11" i="34"/>
  <c r="W11" s="1"/>
  <c r="J27" i="33"/>
  <c r="W27"/>
  <c r="G26" i="47"/>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D10"/>
  <c r="C10" s="1"/>
  <c r="P60" i="15"/>
  <c r="D78" i="9"/>
  <c r="D94" i="57"/>
  <c r="D3" i="33"/>
  <c r="D3" i="37"/>
  <c r="AB36" i="40"/>
  <c r="AA32"/>
  <c r="W32"/>
  <c r="W31"/>
  <c r="AC9"/>
  <c r="S9"/>
  <c r="AA27"/>
  <c r="AC38"/>
  <c r="S40"/>
  <c r="W35"/>
  <c r="W33"/>
  <c r="W34"/>
  <c r="AB39"/>
  <c r="J37"/>
  <c r="H35"/>
  <c r="H37"/>
  <c r="H28"/>
  <c r="AB28" s="1"/>
  <c r="F28"/>
  <c r="J28"/>
  <c r="F98"/>
  <c r="G98"/>
  <c r="H98" s="1"/>
  <c r="I98" s="1"/>
  <c r="J98" s="1"/>
  <c r="K98" s="1"/>
  <c r="L98" s="1"/>
  <c r="M98" s="1"/>
  <c r="F21"/>
  <c r="H21"/>
  <c r="F90"/>
  <c r="G90"/>
  <c r="J21"/>
  <c r="W21"/>
  <c r="W19"/>
  <c r="F86"/>
  <c r="G86" s="1"/>
  <c r="H17"/>
  <c r="U17" s="1"/>
  <c r="J17"/>
  <c r="AC17" s="1"/>
  <c r="F17"/>
  <c r="S17"/>
  <c r="F84"/>
  <c r="G84"/>
  <c r="F15"/>
  <c r="J15"/>
  <c r="W15" s="1"/>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AC33" s="1"/>
  <c r="F33"/>
  <c r="AA33" s="1"/>
  <c r="H99"/>
  <c r="I99" s="1"/>
  <c r="J99" s="1"/>
  <c r="K99" s="1"/>
  <c r="L99" s="1"/>
  <c r="M99" s="1"/>
  <c r="H33"/>
  <c r="AC35"/>
  <c r="W35"/>
  <c r="S31"/>
  <c r="H35"/>
  <c r="AB35" s="1"/>
  <c r="F35"/>
  <c r="E103"/>
  <c r="F103"/>
  <c r="G103" s="1"/>
  <c r="H103" s="1"/>
  <c r="I103" s="1"/>
  <c r="J103" s="1"/>
  <c r="K103" s="1"/>
  <c r="L103" s="1"/>
  <c r="M103" s="1"/>
  <c r="AC23"/>
  <c r="J19"/>
  <c r="W19"/>
  <c r="F19"/>
  <c r="G75"/>
  <c r="H19"/>
  <c r="U19"/>
  <c r="W17"/>
  <c r="AC17"/>
  <c r="AB17"/>
  <c r="S15"/>
  <c r="J15"/>
  <c r="AC15" s="1"/>
  <c r="W10"/>
  <c r="S10"/>
  <c r="AA11"/>
  <c r="U9"/>
  <c r="AB10"/>
  <c r="AC21"/>
  <c r="W21"/>
  <c r="W11"/>
  <c r="W14"/>
  <c r="AC19"/>
  <c r="W39"/>
  <c r="AB11"/>
  <c r="AA29"/>
  <c r="S37"/>
  <c r="AA14"/>
  <c r="AA38"/>
  <c r="S38" i="34"/>
  <c r="S36"/>
  <c r="U43"/>
  <c r="AA9"/>
  <c r="U21"/>
  <c r="AA41"/>
  <c r="W42" i="33"/>
  <c r="U25"/>
  <c r="W11"/>
  <c r="U17"/>
  <c r="W25"/>
  <c r="U27"/>
  <c r="U34"/>
  <c r="U38"/>
  <c r="W37"/>
  <c r="W43"/>
  <c r="AC41"/>
  <c r="AC27"/>
  <c r="AA45"/>
  <c r="U46"/>
  <c r="S23"/>
  <c r="S17"/>
  <c r="W17"/>
  <c r="U15"/>
  <c r="AB9"/>
  <c r="U9"/>
  <c r="S10"/>
  <c r="AC12"/>
  <c r="W39"/>
  <c r="W9"/>
  <c r="W13"/>
  <c r="AC46"/>
  <c r="AC19"/>
  <c r="W21"/>
  <c r="AC21"/>
  <c r="AB41"/>
  <c r="AB42"/>
  <c r="U13"/>
  <c r="U39"/>
  <c r="S42"/>
  <c r="S9"/>
  <c r="U30" i="21"/>
  <c r="AB21"/>
  <c r="U12"/>
  <c r="U9"/>
  <c r="AB8"/>
  <c r="AA14"/>
  <c r="S53" i="31"/>
  <c r="S33"/>
  <c r="S117"/>
  <c r="S471"/>
  <c r="D6" i="52"/>
  <c r="D33" i="50"/>
  <c r="D12"/>
  <c r="B26" i="60" s="1"/>
  <c r="D34" i="50"/>
  <c r="D13"/>
  <c r="B27" i="60" s="1"/>
  <c r="D31" i="50"/>
  <c r="D32" s="1"/>
  <c r="D10"/>
  <c r="B23" i="60" s="1"/>
  <c r="D111" i="57"/>
  <c r="D35" i="50"/>
  <c r="D14"/>
  <c r="B28" i="60" s="1"/>
  <c r="D22" i="15"/>
  <c r="C29" i="11"/>
  <c r="D27" s="1"/>
  <c r="L103" i="43"/>
  <c r="H102"/>
  <c r="D109"/>
  <c r="K107"/>
  <c r="C106"/>
  <c r="D3" i="21"/>
  <c r="M6" i="43"/>
  <c r="M5"/>
  <c r="F81"/>
  <c r="H88" s="1"/>
  <c r="H13" i="44"/>
  <c r="G59" i="40"/>
  <c r="C59" s="1"/>
  <c r="H11" i="44"/>
  <c r="A8" i="54"/>
  <c r="B8" i="60" s="1"/>
  <c r="F2" i="21"/>
  <c r="F2" i="34"/>
  <c r="F2" i="33"/>
  <c r="D35" i="57"/>
  <c r="B104"/>
  <c r="S496" i="31"/>
  <c r="T480"/>
  <c r="T442"/>
  <c r="S364"/>
  <c r="S340"/>
  <c r="T78"/>
  <c r="T76"/>
  <c r="A132" i="9"/>
  <c r="M20" i="15"/>
  <c r="D9" i="11"/>
  <c r="C9" s="1"/>
  <c r="D19"/>
  <c r="C17" i="12"/>
  <c r="G22" i="11"/>
  <c r="G41"/>
  <c r="E48" i="43"/>
  <c r="H113"/>
  <c r="X7"/>
  <c r="E59"/>
  <c r="B57"/>
  <c r="E70"/>
  <c r="B68"/>
  <c r="H22"/>
  <c r="AI11"/>
  <c r="AI13" s="1"/>
  <c r="AG11"/>
  <c r="AG13"/>
  <c r="AE11"/>
  <c r="AC11"/>
  <c r="AC13"/>
  <c r="AA11"/>
  <c r="AA13" s="1"/>
  <c r="Y11"/>
  <c r="Y13"/>
  <c r="S6"/>
  <c r="S2"/>
  <c r="AJ11"/>
  <c r="AJ13"/>
  <c r="AH11"/>
  <c r="AH13" s="1"/>
  <c r="AF11"/>
  <c r="AF13"/>
  <c r="AD11"/>
  <c r="AD13" s="1"/>
  <c r="AB11"/>
  <c r="AB13"/>
  <c r="Z11"/>
  <c r="Z13" s="1"/>
  <c r="Z7"/>
  <c r="S7"/>
  <c r="S5"/>
  <c r="S3"/>
  <c r="S4"/>
  <c r="B46"/>
  <c r="E9"/>
  <c r="E8"/>
  <c r="E10"/>
  <c r="E11"/>
  <c r="C53" i="10"/>
  <c r="D123" i="9"/>
  <c r="D124"/>
  <c r="D7" i="52"/>
  <c r="M48" i="57"/>
  <c r="L105" i="43"/>
  <c r="L109"/>
  <c r="H105"/>
  <c r="H107"/>
  <c r="D104"/>
  <c r="K106"/>
  <c r="K102"/>
  <c r="G105"/>
  <c r="G109"/>
  <c r="C104"/>
  <c r="C107"/>
  <c r="A4" i="52"/>
  <c r="M47" i="9"/>
  <c r="N104" i="46"/>
  <c r="J17" i="43"/>
  <c r="I104"/>
  <c r="J109"/>
  <c r="I115"/>
  <c r="J115"/>
  <c r="K115" s="1"/>
  <c r="L115" s="1"/>
  <c r="M115" s="1"/>
  <c r="L106"/>
  <c r="L104"/>
  <c r="L102"/>
  <c r="H104"/>
  <c r="H103"/>
  <c r="D105"/>
  <c r="D106"/>
  <c r="D102"/>
  <c r="K105"/>
  <c r="K103"/>
  <c r="G106"/>
  <c r="G104"/>
  <c r="G102"/>
  <c r="C105"/>
  <c r="C103"/>
  <c r="H70"/>
  <c r="D115"/>
  <c r="E115" s="1"/>
  <c r="F115" s="1"/>
  <c r="G115" s="1"/>
  <c r="H115" s="1"/>
  <c r="B117"/>
  <c r="C117" s="1"/>
  <c r="M109"/>
  <c r="I107"/>
  <c r="N106"/>
  <c r="J105"/>
  <c r="F104"/>
  <c r="G37" i="47"/>
  <c r="C23" i="43"/>
  <c r="F36"/>
  <c r="C17"/>
  <c r="F35"/>
  <c r="F37"/>
  <c r="F39"/>
  <c r="K17"/>
  <c r="C7" i="34"/>
  <c r="F38" i="43"/>
  <c r="J20" i="15"/>
  <c r="K86" i="43"/>
  <c r="J86"/>
  <c r="D86"/>
  <c r="M87"/>
  <c r="N87"/>
  <c r="K82"/>
  <c r="J82"/>
  <c r="D82"/>
  <c r="M83"/>
  <c r="N83"/>
  <c r="I116"/>
  <c r="J116" s="1"/>
  <c r="K116" s="1"/>
  <c r="L116" s="1"/>
  <c r="M116" s="1"/>
  <c r="D117"/>
  <c r="E117"/>
  <c r="F117"/>
  <c r="G117"/>
  <c r="H117" s="1"/>
  <c r="B118"/>
  <c r="C118"/>
  <c r="B116"/>
  <c r="C116" s="1"/>
  <c r="I106"/>
  <c r="E105"/>
  <c r="N104"/>
  <c r="F106"/>
  <c r="M12"/>
  <c r="M8"/>
  <c r="N7"/>
  <c r="M3"/>
  <c r="M11"/>
  <c r="N8"/>
  <c r="H8" i="44"/>
  <c r="H12"/>
  <c r="C63" i="39"/>
  <c r="M85" i="43"/>
  <c r="N85"/>
  <c r="K85"/>
  <c r="J85"/>
  <c r="D85"/>
  <c r="M82"/>
  <c r="N82" s="1"/>
  <c r="K83"/>
  <c r="J83"/>
  <c r="D83"/>
  <c r="F109"/>
  <c r="F103"/>
  <c r="F105"/>
  <c r="J107"/>
  <c r="J102"/>
  <c r="J104"/>
  <c r="J106"/>
  <c r="N109"/>
  <c r="N103"/>
  <c r="N105"/>
  <c r="E107"/>
  <c r="E102"/>
  <c r="E104"/>
  <c r="E106"/>
  <c r="I109"/>
  <c r="I103"/>
  <c r="I105"/>
  <c r="M107"/>
  <c r="M102"/>
  <c r="M104"/>
  <c r="M106"/>
  <c r="B115"/>
  <c r="I117"/>
  <c r="J117" s="1"/>
  <c r="K117" s="1"/>
  <c r="L117" s="1"/>
  <c r="M117" s="1"/>
  <c r="D116"/>
  <c r="E116"/>
  <c r="F116"/>
  <c r="G116"/>
  <c r="H116" s="1"/>
  <c r="D118"/>
  <c r="E118"/>
  <c r="F118"/>
  <c r="G118"/>
  <c r="H118"/>
  <c r="F35" i="15"/>
  <c r="F64" s="1"/>
  <c r="C63"/>
  <c r="C17"/>
  <c r="W23" i="40"/>
  <c r="S23"/>
  <c r="U23"/>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W36"/>
  <c r="S35"/>
  <c r="S26"/>
  <c r="AB26"/>
  <c r="AC16"/>
  <c r="AA25"/>
  <c r="S28"/>
  <c r="AC34" i="37"/>
  <c r="U29"/>
  <c r="U30"/>
  <c r="S40"/>
  <c r="AC29"/>
  <c r="U26"/>
  <c r="AC13"/>
  <c r="U38"/>
  <c r="AA13"/>
  <c r="AA8"/>
  <c r="W25"/>
  <c r="S9"/>
  <c r="J21" i="34"/>
  <c r="AC21" s="1"/>
  <c r="W41"/>
  <c r="U31"/>
  <c r="AB14"/>
  <c r="AC13"/>
  <c r="AB13"/>
  <c r="S13"/>
  <c r="U37" i="33"/>
  <c r="U19"/>
  <c r="AC32"/>
  <c r="AA43"/>
  <c r="S32"/>
  <c r="U33"/>
  <c r="AA28"/>
  <c r="U30"/>
  <c r="S39"/>
  <c r="AB26"/>
  <c r="AA36"/>
  <c r="W35"/>
  <c r="W40"/>
  <c r="W26"/>
  <c r="S33"/>
  <c r="U35"/>
  <c r="U32"/>
  <c r="AC45"/>
  <c r="AB29"/>
  <c r="AB36"/>
  <c r="W15"/>
  <c r="AA19"/>
  <c r="W8"/>
  <c r="G83" i="21"/>
  <c r="J21"/>
  <c r="W21" s="1"/>
  <c r="AC31"/>
  <c r="S46"/>
  <c r="AC46"/>
  <c r="W10"/>
  <c r="C17" i="39"/>
  <c r="C19"/>
  <c r="C15" i="40"/>
  <c r="C17"/>
  <c r="B54" i="43"/>
  <c r="B65"/>
  <c r="U30" i="40"/>
  <c r="B60" i="43"/>
  <c r="C34" i="15"/>
  <c r="AC21" i="40"/>
  <c r="U35"/>
  <c r="AB35"/>
  <c r="U37"/>
  <c r="AB37"/>
  <c r="W37"/>
  <c r="AC37"/>
  <c r="AA28"/>
  <c r="S28"/>
  <c r="AC28"/>
  <c r="W28"/>
  <c r="U28"/>
  <c r="AB21"/>
  <c r="U21"/>
  <c r="S21"/>
  <c r="AA21"/>
  <c r="AB17"/>
  <c r="AA17"/>
  <c r="W17"/>
  <c r="AA15"/>
  <c r="S15"/>
  <c r="AC15"/>
  <c r="AB33" i="37"/>
  <c r="U33"/>
  <c r="U35"/>
  <c r="AA35"/>
  <c r="S35"/>
  <c r="W33"/>
  <c r="AA19"/>
  <c r="S19"/>
  <c r="AB19"/>
  <c r="W15"/>
  <c r="M86" i="43"/>
  <c r="N86"/>
  <c r="D20" i="1"/>
  <c r="F18"/>
  <c r="C11" i="12" s="1"/>
  <c r="C13" s="1"/>
  <c r="K87" i="43"/>
  <c r="J87"/>
  <c r="D87"/>
  <c r="C7"/>
  <c r="K106" i="9"/>
  <c r="A18" i="55" s="1"/>
  <c r="B48" i="60" s="1"/>
  <c r="C115" i="43"/>
  <c r="J22"/>
  <c r="M84"/>
  <c r="N84"/>
  <c r="K84"/>
  <c r="J84" s="1"/>
  <c r="D84"/>
  <c r="M81"/>
  <c r="N81"/>
  <c r="K81"/>
  <c r="J81"/>
  <c r="D81"/>
  <c r="E81" s="1"/>
  <c r="B79" s="1"/>
  <c r="M88"/>
  <c r="N88" s="1"/>
  <c r="K88"/>
  <c r="J88"/>
  <c r="D88"/>
  <c r="B40" i="1"/>
  <c r="M27" i="15" s="1"/>
  <c r="C24" i="43"/>
  <c r="D118" i="57"/>
  <c r="I114" s="1"/>
  <c r="D131" s="1"/>
  <c r="D133"/>
  <c r="D130" i="9"/>
  <c r="D13" i="52"/>
  <c r="D23" i="48"/>
  <c r="H67" i="43"/>
  <c r="H9" i="44"/>
  <c r="H7"/>
  <c r="H10"/>
  <c r="N12" i="43"/>
  <c r="N4"/>
  <c r="M7"/>
  <c r="N1"/>
  <c r="M10"/>
  <c r="M2"/>
  <c r="C6" s="1"/>
  <c r="H15" i="44"/>
  <c r="H61" i="43"/>
  <c r="H5" i="44"/>
  <c r="N10" i="43"/>
  <c r="N2"/>
  <c r="N11"/>
  <c r="N9"/>
  <c r="M4"/>
  <c r="N5"/>
  <c r="N3"/>
  <c r="M9"/>
  <c r="E17"/>
  <c r="N17"/>
  <c r="L17"/>
  <c r="O17"/>
  <c r="M17"/>
  <c r="C11" i="59"/>
  <c r="D11"/>
  <c r="D12"/>
  <c r="B13"/>
  <c r="AB13"/>
  <c r="U13"/>
  <c r="AA12"/>
  <c r="X12"/>
  <c r="AB12"/>
  <c r="AA11"/>
  <c r="Y11"/>
  <c r="Z11" s="1"/>
  <c r="Y9"/>
  <c r="Z9"/>
  <c r="AB9"/>
  <c r="AB7"/>
  <c r="X9"/>
  <c r="X7"/>
  <c r="AA9"/>
  <c r="Z7"/>
  <c r="AA7"/>
  <c r="AB8"/>
  <c r="X8"/>
  <c r="U9"/>
  <c r="J30" i="35"/>
  <c r="AC30" s="1"/>
  <c r="W30"/>
  <c r="H30"/>
  <c r="AA30"/>
  <c r="N56" i="9"/>
  <c r="D48" i="35"/>
  <c r="E48" s="1"/>
  <c r="F48" s="1"/>
  <c r="G48" s="1"/>
  <c r="H48" s="1"/>
  <c r="I48" s="1"/>
  <c r="J48" s="1"/>
  <c r="K48" s="1"/>
  <c r="L48" s="1"/>
  <c r="M48" s="1"/>
  <c r="N48" s="1"/>
  <c r="O48" s="1"/>
  <c r="C10" i="59"/>
  <c r="D10" s="1"/>
  <c r="C9"/>
  <c r="C8" s="1"/>
  <c r="C7" s="1"/>
  <c r="C6" s="1"/>
  <c r="X3"/>
  <c r="Y3"/>
  <c r="Z3"/>
  <c r="H16" i="48"/>
  <c r="D15"/>
  <c r="D5"/>
  <c r="H5"/>
  <c r="F48" i="43"/>
  <c r="H56" s="1"/>
  <c r="G4" i="47"/>
  <c r="S13" i="59"/>
  <c r="B12"/>
  <c r="B11"/>
  <c r="B10"/>
  <c r="B9"/>
  <c r="B8" s="1"/>
  <c r="B7" s="1"/>
  <c r="B6" s="1"/>
  <c r="B5" s="1"/>
  <c r="AB30" i="35"/>
  <c r="U30"/>
  <c r="G20" i="43"/>
  <c r="H51"/>
  <c r="H55"/>
  <c r="H49"/>
  <c r="H48"/>
  <c r="D119" i="57"/>
  <c r="E41" i="43"/>
  <c r="C41" s="1"/>
  <c r="I114" i="9"/>
  <c r="I112"/>
  <c r="D39" i="50" s="1"/>
  <c r="D40" s="1"/>
  <c r="D116" i="9"/>
  <c r="D114"/>
  <c r="D115"/>
  <c r="H15" i="48"/>
  <c r="D16"/>
  <c r="F5" i="61"/>
  <c r="E2" i="33"/>
  <c r="H23" i="31"/>
  <c r="F3" i="61"/>
  <c r="E2" i="35"/>
  <c r="F4" i="61"/>
  <c r="E2" i="21"/>
  <c r="F6" i="61"/>
  <c r="E2" i="11"/>
  <c r="F7" i="61"/>
  <c r="E2" i="34"/>
  <c r="E2" i="36"/>
  <c r="E2" i="37"/>
  <c r="F40" i="21" l="1"/>
  <c r="AA40" s="1"/>
  <c r="D18" i="50"/>
  <c r="B31" i="60" s="1"/>
  <c r="D7" i="59"/>
  <c r="D8"/>
  <c r="D9"/>
  <c r="D127" i="9"/>
  <c r="H54" i="43"/>
  <c r="H50"/>
  <c r="S9" i="59"/>
  <c r="T9"/>
  <c r="S33" i="37"/>
  <c r="S38" i="40"/>
  <c r="H81" i="43"/>
  <c r="D113"/>
  <c r="U31" i="37"/>
  <c r="AA12"/>
  <c r="AB21" i="39"/>
  <c r="AB25"/>
  <c r="S15"/>
  <c r="AC9" i="37"/>
  <c r="G32" i="31"/>
  <c r="G36"/>
  <c r="G40"/>
  <c r="G44"/>
  <c r="G48"/>
  <c r="G52"/>
  <c r="G56"/>
  <c r="G60"/>
  <c r="G64"/>
  <c r="G68"/>
  <c r="G72"/>
  <c r="G76"/>
  <c r="G80"/>
  <c r="G84"/>
  <c r="G88"/>
  <c r="G92"/>
  <c r="G34"/>
  <c r="G38"/>
  <c r="G42"/>
  <c r="G46"/>
  <c r="G50"/>
  <c r="G54"/>
  <c r="G58"/>
  <c r="G62"/>
  <c r="G66"/>
  <c r="G70"/>
  <c r="G74"/>
  <c r="G78"/>
  <c r="G82"/>
  <c r="G86"/>
  <c r="G90"/>
  <c r="G94"/>
  <c r="G98"/>
  <c r="G102"/>
  <c r="G106"/>
  <c r="G110"/>
  <c r="G114"/>
  <c r="G118"/>
  <c r="G122"/>
  <c r="G126"/>
  <c r="G130"/>
  <c r="G134"/>
  <c r="G138"/>
  <c r="G35"/>
  <c r="G39"/>
  <c r="G43"/>
  <c r="G47"/>
  <c r="G51"/>
  <c r="G55"/>
  <c r="G59"/>
  <c r="G63"/>
  <c r="G67"/>
  <c r="G71"/>
  <c r="G75"/>
  <c r="G79"/>
  <c r="G83"/>
  <c r="G87"/>
  <c r="G91"/>
  <c r="G95"/>
  <c r="G99"/>
  <c r="G103"/>
  <c r="G107"/>
  <c r="G111"/>
  <c r="G115"/>
  <c r="G119"/>
  <c r="G123"/>
  <c r="G127"/>
  <c r="G131"/>
  <c r="G135"/>
  <c r="G139"/>
  <c r="G143"/>
  <c r="G147"/>
  <c r="G151"/>
  <c r="G155"/>
  <c r="G159"/>
  <c r="G163"/>
  <c r="G167"/>
  <c r="G171"/>
  <c r="G175"/>
  <c r="G37"/>
  <c r="G53"/>
  <c r="G69"/>
  <c r="G85"/>
  <c r="G97"/>
  <c r="G105"/>
  <c r="G113"/>
  <c r="G121"/>
  <c r="G129"/>
  <c r="G137"/>
  <c r="G144"/>
  <c r="G149"/>
  <c r="G154"/>
  <c r="G160"/>
  <c r="G165"/>
  <c r="G170"/>
  <c r="G176"/>
  <c r="G180"/>
  <c r="G184"/>
  <c r="G188"/>
  <c r="G192"/>
  <c r="G196"/>
  <c r="G200"/>
  <c r="G204"/>
  <c r="G208"/>
  <c r="G212"/>
  <c r="G216"/>
  <c r="G220"/>
  <c r="G224"/>
  <c r="G228"/>
  <c r="G232"/>
  <c r="G236"/>
  <c r="G240"/>
  <c r="G244"/>
  <c r="G248"/>
  <c r="G252"/>
  <c r="G256"/>
  <c r="G260"/>
  <c r="G264"/>
  <c r="G268"/>
  <c r="G272"/>
  <c r="G276"/>
  <c r="G280"/>
  <c r="G284"/>
  <c r="G288"/>
  <c r="G292"/>
  <c r="G296"/>
  <c r="G300"/>
  <c r="G304"/>
  <c r="G308"/>
  <c r="G312"/>
  <c r="G316"/>
  <c r="G320"/>
  <c r="G324"/>
  <c r="G328"/>
  <c r="G332"/>
  <c r="G336"/>
  <c r="G340"/>
  <c r="G344"/>
  <c r="G348"/>
  <c r="G352"/>
  <c r="G356"/>
  <c r="G360"/>
  <c r="G364"/>
  <c r="G368"/>
  <c r="G372"/>
  <c r="G376"/>
  <c r="G380"/>
  <c r="G384"/>
  <c r="G388"/>
  <c r="G392"/>
  <c r="G396"/>
  <c r="G400"/>
  <c r="G404"/>
  <c r="G408"/>
  <c r="G412"/>
  <c r="G416"/>
  <c r="G420"/>
  <c r="G424"/>
  <c r="G428"/>
  <c r="G432"/>
  <c r="G436"/>
  <c r="G440"/>
  <c r="G444"/>
  <c r="G448"/>
  <c r="G452"/>
  <c r="G456"/>
  <c r="G460"/>
  <c r="G464"/>
  <c r="G468"/>
  <c r="G472"/>
  <c r="G476"/>
  <c r="G480"/>
  <c r="G484"/>
  <c r="G488"/>
  <c r="G492"/>
  <c r="G496"/>
  <c r="G500"/>
  <c r="G504"/>
  <c r="G508"/>
  <c r="G512"/>
  <c r="G516"/>
  <c r="G520"/>
  <c r="G524"/>
  <c r="G29"/>
  <c r="G41"/>
  <c r="G57"/>
  <c r="G73"/>
  <c r="G89"/>
  <c r="G100"/>
  <c r="G108"/>
  <c r="G116"/>
  <c r="G124"/>
  <c r="G132"/>
  <c r="G140"/>
  <c r="G145"/>
  <c r="G150"/>
  <c r="G156"/>
  <c r="G161"/>
  <c r="G166"/>
  <c r="G172"/>
  <c r="G177"/>
  <c r="G181"/>
  <c r="G185"/>
  <c r="G189"/>
  <c r="G193"/>
  <c r="G197"/>
  <c r="G201"/>
  <c r="G205"/>
  <c r="G209"/>
  <c r="G213"/>
  <c r="G217"/>
  <c r="G221"/>
  <c r="G225"/>
  <c r="G229"/>
  <c r="G233"/>
  <c r="G237"/>
  <c r="G241"/>
  <c r="G245"/>
  <c r="G249"/>
  <c r="G253"/>
  <c r="G257"/>
  <c r="G261"/>
  <c r="G265"/>
  <c r="G269"/>
  <c r="G273"/>
  <c r="G277"/>
  <c r="G281"/>
  <c r="G285"/>
  <c r="G289"/>
  <c r="G293"/>
  <c r="G297"/>
  <c r="G301"/>
  <c r="G305"/>
  <c r="G309"/>
  <c r="G313"/>
  <c r="G317"/>
  <c r="G321"/>
  <c r="G325"/>
  <c r="G329"/>
  <c r="G333"/>
  <c r="G337"/>
  <c r="G341"/>
  <c r="G345"/>
  <c r="G349"/>
  <c r="G353"/>
  <c r="G357"/>
  <c r="G361"/>
  <c r="G365"/>
  <c r="G369"/>
  <c r="G373"/>
  <c r="G377"/>
  <c r="G381"/>
  <c r="G385"/>
  <c r="G389"/>
  <c r="G393"/>
  <c r="G397"/>
  <c r="G401"/>
  <c r="G405"/>
  <c r="G409"/>
  <c r="G413"/>
  <c r="G417"/>
  <c r="G421"/>
  <c r="G425"/>
  <c r="G429"/>
  <c r="G433"/>
  <c r="G437"/>
  <c r="G441"/>
  <c r="G445"/>
  <c r="G449"/>
  <c r="G453"/>
  <c r="G457"/>
  <c r="G461"/>
  <c r="G465"/>
  <c r="G469"/>
  <c r="G473"/>
  <c r="G477"/>
  <c r="G481"/>
  <c r="G485"/>
  <c r="G489"/>
  <c r="G493"/>
  <c r="G497"/>
  <c r="G501"/>
  <c r="G505"/>
  <c r="G509"/>
  <c r="G513"/>
  <c r="G517"/>
  <c r="G521"/>
  <c r="G525"/>
  <c r="G30"/>
  <c r="G45"/>
  <c r="G61"/>
  <c r="G77"/>
  <c r="G93"/>
  <c r="G101"/>
  <c r="G109"/>
  <c r="G117"/>
  <c r="G125"/>
  <c r="G133"/>
  <c r="G141"/>
  <c r="G146"/>
  <c r="G152"/>
  <c r="G157"/>
  <c r="G162"/>
  <c r="G168"/>
  <c r="G173"/>
  <c r="G178"/>
  <c r="G182"/>
  <c r="G186"/>
  <c r="G190"/>
  <c r="G194"/>
  <c r="G198"/>
  <c r="G202"/>
  <c r="G206"/>
  <c r="G210"/>
  <c r="G214"/>
  <c r="G218"/>
  <c r="G222"/>
  <c r="G226"/>
  <c r="G230"/>
  <c r="G234"/>
  <c r="G238"/>
  <c r="G242"/>
  <c r="G246"/>
  <c r="G250"/>
  <c r="G254"/>
  <c r="G258"/>
  <c r="G262"/>
  <c r="G266"/>
  <c r="G270"/>
  <c r="G274"/>
  <c r="G278"/>
  <c r="G282"/>
  <c r="G286"/>
  <c r="G290"/>
  <c r="G294"/>
  <c r="G298"/>
  <c r="G302"/>
  <c r="G306"/>
  <c r="G310"/>
  <c r="G314"/>
  <c r="G318"/>
  <c r="G322"/>
  <c r="G326"/>
  <c r="G330"/>
  <c r="G334"/>
  <c r="G338"/>
  <c r="G342"/>
  <c r="G346"/>
  <c r="G350"/>
  <c r="G354"/>
  <c r="G358"/>
  <c r="G362"/>
  <c r="G366"/>
  <c r="G370"/>
  <c r="G374"/>
  <c r="G378"/>
  <c r="G382"/>
  <c r="G386"/>
  <c r="G390"/>
  <c r="G394"/>
  <c r="G398"/>
  <c r="G402"/>
  <c r="G406"/>
  <c r="G410"/>
  <c r="G414"/>
  <c r="G418"/>
  <c r="G422"/>
  <c r="G426"/>
  <c r="G430"/>
  <c r="G434"/>
  <c r="G438"/>
  <c r="G442"/>
  <c r="G446"/>
  <c r="G450"/>
  <c r="G454"/>
  <c r="G458"/>
  <c r="G462"/>
  <c r="G466"/>
  <c r="G470"/>
  <c r="G474"/>
  <c r="G478"/>
  <c r="G482"/>
  <c r="G486"/>
  <c r="G490"/>
  <c r="G494"/>
  <c r="G498"/>
  <c r="G502"/>
  <c r="G506"/>
  <c r="G510"/>
  <c r="G514"/>
  <c r="G518"/>
  <c r="G522"/>
  <c r="G526"/>
  <c r="G31"/>
  <c r="F11"/>
  <c r="G11" s="1"/>
  <c r="H11" s="1"/>
  <c r="I11" s="1"/>
  <c r="J11" s="1"/>
  <c r="K11" s="1"/>
  <c r="L11" s="1"/>
  <c r="M11" s="1"/>
  <c r="N11" s="1"/>
  <c r="O11" s="1"/>
  <c r="P11" s="1"/>
  <c r="Q11" s="1"/>
  <c r="R11" s="1"/>
  <c r="S11" s="1"/>
  <c r="G33"/>
  <c r="G49"/>
  <c r="G65"/>
  <c r="G81"/>
  <c r="G96"/>
  <c r="G104"/>
  <c r="G112"/>
  <c r="G120"/>
  <c r="G128"/>
  <c r="G136"/>
  <c r="G142"/>
  <c r="G148"/>
  <c r="G153"/>
  <c r="G158"/>
  <c r="G164"/>
  <c r="G169"/>
  <c r="G174"/>
  <c r="G179"/>
  <c r="G183"/>
  <c r="G187"/>
  <c r="G191"/>
  <c r="G195"/>
  <c r="G199"/>
  <c r="G203"/>
  <c r="G207"/>
  <c r="G211"/>
  <c r="G215"/>
  <c r="G219"/>
  <c r="G223"/>
  <c r="G227"/>
  <c r="G231"/>
  <c r="G235"/>
  <c r="G239"/>
  <c r="G243"/>
  <c r="G247"/>
  <c r="G251"/>
  <c r="G255"/>
  <c r="G259"/>
  <c r="G263"/>
  <c r="G267"/>
  <c r="G271"/>
  <c r="G275"/>
  <c r="G279"/>
  <c r="G283"/>
  <c r="G287"/>
  <c r="G291"/>
  <c r="G295"/>
  <c r="G299"/>
  <c r="G303"/>
  <c r="G307"/>
  <c r="G311"/>
  <c r="G315"/>
  <c r="G319"/>
  <c r="G323"/>
  <c r="G327"/>
  <c r="G331"/>
  <c r="G335"/>
  <c r="G339"/>
  <c r="G343"/>
  <c r="G347"/>
  <c r="G351"/>
  <c r="G355"/>
  <c r="G359"/>
  <c r="G363"/>
  <c r="G367"/>
  <c r="G371"/>
  <c r="G375"/>
  <c r="G379"/>
  <c r="G383"/>
  <c r="G387"/>
  <c r="G391"/>
  <c r="G395"/>
  <c r="G399"/>
  <c r="G403"/>
  <c r="G407"/>
  <c r="G411"/>
  <c r="G415"/>
  <c r="G419"/>
  <c r="G423"/>
  <c r="G427"/>
  <c r="G431"/>
  <c r="G435"/>
  <c r="G439"/>
  <c r="G443"/>
  <c r="G447"/>
  <c r="G451"/>
  <c r="G455"/>
  <c r="G459"/>
  <c r="G463"/>
  <c r="G467"/>
  <c r="G471"/>
  <c r="G475"/>
  <c r="G479"/>
  <c r="G483"/>
  <c r="G487"/>
  <c r="G491"/>
  <c r="G495"/>
  <c r="G499"/>
  <c r="G503"/>
  <c r="G507"/>
  <c r="G511"/>
  <c r="G515"/>
  <c r="G519"/>
  <c r="G523"/>
  <c r="G527"/>
  <c r="G28"/>
  <c r="U38" i="40"/>
  <c r="S27" i="37"/>
  <c r="AA23" i="36"/>
  <c r="S23"/>
  <c r="AC12" i="40"/>
  <c r="W12"/>
  <c r="C59" i="34"/>
  <c r="D59" s="1"/>
  <c r="E59" s="1"/>
  <c r="F59" s="1"/>
  <c r="E7"/>
  <c r="G7" s="1"/>
  <c r="I7" s="1"/>
  <c r="U23" i="39"/>
  <c r="S24" i="35"/>
  <c r="U15" i="37"/>
  <c r="D22" i="43"/>
  <c r="C21" s="1"/>
  <c r="U33" i="36"/>
  <c r="AB33"/>
  <c r="AB14" i="37"/>
  <c r="U14"/>
  <c r="AC39" i="40"/>
  <c r="W39"/>
  <c r="D6" i="59"/>
  <c r="C5"/>
  <c r="D5" s="1"/>
  <c r="W9" i="35"/>
  <c r="AC9"/>
  <c r="AB46" i="21"/>
  <c r="F89"/>
  <c r="G89" s="1"/>
  <c r="H89" s="1"/>
  <c r="I89" s="1"/>
  <c r="J89" s="1"/>
  <c r="K89" s="1"/>
  <c r="L89" s="1"/>
  <c r="M89" s="1"/>
  <c r="F37"/>
  <c r="E117"/>
  <c r="F117" s="1"/>
  <c r="G117" s="1"/>
  <c r="F12" i="34"/>
  <c r="F19"/>
  <c r="S19" s="1"/>
  <c r="H9" i="35"/>
  <c r="H12"/>
  <c r="H36"/>
  <c r="AA27"/>
  <c r="H23" i="36"/>
  <c r="F39" i="40"/>
  <c r="C28" i="59"/>
  <c r="D27"/>
  <c r="Q55"/>
  <c r="Q54"/>
  <c r="I21" i="58"/>
  <c r="D1"/>
  <c r="E10" s="1"/>
  <c r="C20" i="59"/>
  <c r="D19"/>
  <c r="C44"/>
  <c r="D43"/>
  <c r="J26" i="21"/>
  <c r="W26" s="1"/>
  <c r="F39"/>
  <c r="S39" s="1"/>
  <c r="F43" i="34"/>
  <c r="AA43" s="1"/>
  <c r="F23"/>
  <c r="S23" s="1"/>
  <c r="F9" i="35"/>
  <c r="F12"/>
  <c r="J23" i="36"/>
  <c r="C32" i="59"/>
  <c r="D31"/>
  <c r="D47"/>
  <c r="C48"/>
  <c r="D60"/>
  <c r="C59"/>
  <c r="D59" s="1"/>
  <c r="J9" i="21"/>
  <c r="W9" s="1"/>
  <c r="C36" i="59"/>
  <c r="D36" s="1"/>
  <c r="D35"/>
  <c r="D39"/>
  <c r="C40"/>
  <c r="C52"/>
  <c r="D51"/>
  <c r="D3" i="34"/>
  <c r="C33" i="21"/>
  <c r="C25" i="40"/>
  <c r="O56" i="59"/>
  <c r="C16"/>
  <c r="AA16"/>
  <c r="AB16"/>
  <c r="D61"/>
  <c r="O57"/>
  <c r="X15"/>
  <c r="Y17"/>
  <c r="Z17" s="1"/>
  <c r="Y14"/>
  <c r="Z14" s="1"/>
  <c r="E19"/>
  <c r="E20" s="1"/>
  <c r="E21" s="1"/>
  <c r="U21" s="1"/>
  <c r="F23"/>
  <c r="F24" s="1"/>
  <c r="F25" s="1"/>
  <c r="V25" s="1"/>
  <c r="E27"/>
  <c r="E28" s="1"/>
  <c r="E29" s="1"/>
  <c r="U29" s="1"/>
  <c r="E56"/>
  <c r="F60"/>
  <c r="F59" s="1"/>
  <c r="H14" i="62"/>
  <c r="B7" s="1"/>
  <c r="AC10" i="43"/>
  <c r="AE12"/>
  <c r="AE13" s="1"/>
  <c r="P59" i="15"/>
  <c r="T13" i="59"/>
  <c r="F30" i="1"/>
  <c r="C24" i="12" s="1"/>
  <c r="C29" s="1"/>
  <c r="D28" s="1"/>
  <c r="C7" i="64"/>
  <c r="J100" i="43"/>
  <c r="M100"/>
  <c r="E100"/>
  <c r="E26" i="58"/>
  <c r="U21" i="37"/>
  <c r="U17" i="59"/>
  <c r="C55"/>
  <c r="AA14"/>
  <c r="AA15"/>
  <c r="AB15"/>
  <c r="C64"/>
  <c r="T61"/>
  <c r="T57"/>
  <c r="X14"/>
  <c r="T17"/>
  <c r="B19"/>
  <c r="B20" s="1"/>
  <c r="B21" s="1"/>
  <c r="S21" s="1"/>
  <c r="C23"/>
  <c r="B27"/>
  <c r="B28" s="1"/>
  <c r="B29" s="1"/>
  <c r="S29" s="1"/>
  <c r="P57"/>
  <c r="V65"/>
  <c r="Y26"/>
  <c r="Z26" s="1"/>
  <c r="Y18"/>
  <c r="Z18" s="1"/>
  <c r="X13"/>
  <c r="F12"/>
  <c r="F11" s="1"/>
  <c r="F10" s="1"/>
  <c r="F9" s="1"/>
  <c r="K100" i="43"/>
  <c r="C100"/>
  <c r="C19" i="12"/>
  <c r="C18" s="1"/>
  <c r="F19" i="59"/>
  <c r="F20" s="1"/>
  <c r="F21" s="1"/>
  <c r="V21" s="1"/>
  <c r="F27"/>
  <c r="F28" s="1"/>
  <c r="F29" s="1"/>
  <c r="V29" s="1"/>
  <c r="X22"/>
  <c r="AB18"/>
  <c r="X18"/>
  <c r="K107" i="57"/>
  <c r="AA10" i="59"/>
  <c r="Y8"/>
  <c r="Z8" s="1"/>
  <c r="X25" i="31"/>
  <c r="C36" i="57" s="1"/>
  <c r="F124" s="1"/>
  <c r="F125" s="1"/>
  <c r="I100" i="43"/>
  <c r="C20" i="12"/>
  <c r="AB17" i="59"/>
  <c r="I14" i="62"/>
  <c r="B8" s="1"/>
  <c r="C8" s="1"/>
  <c r="AA6" i="59"/>
  <c r="C18" i="9"/>
  <c r="D18" s="1"/>
  <c r="A18" i="54"/>
  <c r="B15" i="60" s="1"/>
  <c r="W12" i="21"/>
  <c r="AC12"/>
  <c r="AB13"/>
  <c r="U13"/>
  <c r="J13"/>
  <c r="AC14"/>
  <c r="F13"/>
  <c r="F12"/>
  <c r="J42"/>
  <c r="AC42" s="1"/>
  <c r="E119"/>
  <c r="F119" s="1"/>
  <c r="G119" s="1"/>
  <c r="H119" s="1"/>
  <c r="I119" s="1"/>
  <c r="J119" s="1"/>
  <c r="K119" s="1"/>
  <c r="L119" s="1"/>
  <c r="M119" s="1"/>
  <c r="F42"/>
  <c r="H42"/>
  <c r="AB42" s="1"/>
  <c r="H43"/>
  <c r="F125"/>
  <c r="G125" s="1"/>
  <c r="J43"/>
  <c r="F43"/>
  <c r="AA39"/>
  <c r="S38"/>
  <c r="W37"/>
  <c r="AC37"/>
  <c r="H37"/>
  <c r="F113"/>
  <c r="G113" s="1"/>
  <c r="H113" s="1"/>
  <c r="F110"/>
  <c r="G110" s="1"/>
  <c r="H110" s="1"/>
  <c r="I110" s="1"/>
  <c r="J110" s="1"/>
  <c r="K110" s="1"/>
  <c r="L110" s="1"/>
  <c r="M110" s="1"/>
  <c r="J36"/>
  <c r="AC36" s="1"/>
  <c r="F36"/>
  <c r="S36" s="1"/>
  <c r="H36"/>
  <c r="U36" s="1"/>
  <c r="E106"/>
  <c r="F106" s="1"/>
  <c r="G106" s="1"/>
  <c r="H106" s="1"/>
  <c r="I106" s="1"/>
  <c r="J106" s="1"/>
  <c r="K106" s="1"/>
  <c r="L106" s="1"/>
  <c r="M106" s="1"/>
  <c r="U23"/>
  <c r="AB19"/>
  <c r="S19"/>
  <c r="AB32"/>
  <c r="U26"/>
  <c r="S31"/>
  <c r="AC29"/>
  <c r="U38"/>
  <c r="U40"/>
  <c r="S41"/>
  <c r="W45"/>
  <c r="AC45"/>
  <c r="U44"/>
  <c r="AB44"/>
  <c r="AA45"/>
  <c r="AC44"/>
  <c r="H45"/>
  <c r="W40"/>
  <c r="W39"/>
  <c r="AB39"/>
  <c r="AC38"/>
  <c r="AB36"/>
  <c r="AB35"/>
  <c r="W35"/>
  <c r="S35"/>
  <c r="U34"/>
  <c r="W34"/>
  <c r="AA34"/>
  <c r="W32"/>
  <c r="AA32"/>
  <c r="S28"/>
  <c r="U28"/>
  <c r="AC26"/>
  <c r="S26"/>
  <c r="AC28"/>
  <c r="W11"/>
  <c r="AB11"/>
  <c r="S11"/>
  <c r="W25"/>
  <c r="AB25"/>
  <c r="S25"/>
  <c r="AC27"/>
  <c r="U27"/>
  <c r="S27"/>
  <c r="W23"/>
  <c r="AC21"/>
  <c r="AA21"/>
  <c r="AC19"/>
  <c r="AB17"/>
  <c r="AA17"/>
  <c r="U15"/>
  <c r="S8"/>
  <c r="S9"/>
  <c r="AA9"/>
  <c r="U10"/>
  <c r="S10"/>
  <c r="W8"/>
  <c r="B56" i="43"/>
  <c r="B49"/>
  <c r="C15" i="39"/>
  <c r="C21"/>
  <c r="S103" i="31"/>
  <c r="S203"/>
  <c r="S331"/>
  <c r="S491"/>
  <c r="Y27"/>
  <c r="Y25" s="1"/>
  <c r="B25"/>
  <c r="S515"/>
  <c r="T59"/>
  <c r="S327"/>
  <c r="S483"/>
  <c r="C28"/>
  <c r="V27"/>
  <c r="V25" s="1"/>
  <c r="T267"/>
  <c r="S423"/>
  <c r="S35"/>
  <c r="U27"/>
  <c r="U25" s="1"/>
  <c r="C35" i="57" s="1"/>
  <c r="D124" s="1"/>
  <c r="D125" s="1"/>
  <c r="A6" i="54"/>
  <c r="B7" i="60" s="1"/>
  <c r="A124" i="57"/>
  <c r="A4" i="54"/>
  <c r="B6" i="60" s="1"/>
  <c r="C19" i="11"/>
  <c r="C20" s="1"/>
  <c r="C28" s="1"/>
  <c r="C27" s="1"/>
  <c r="S353" i="31"/>
  <c r="S205"/>
  <c r="S89"/>
  <c r="S42"/>
  <c r="T286"/>
  <c r="S361"/>
  <c r="S65"/>
  <c r="S433"/>
  <c r="T305"/>
  <c r="S90"/>
  <c r="S162"/>
  <c r="S210"/>
  <c r="S234"/>
  <c r="S258"/>
  <c r="T38"/>
  <c r="S397"/>
  <c r="T269"/>
  <c r="S506"/>
  <c r="S525"/>
  <c r="S114"/>
  <c r="S202"/>
  <c r="S374"/>
  <c r="S389"/>
  <c r="S85"/>
  <c r="T54"/>
  <c r="S405"/>
  <c r="S369"/>
  <c r="T493"/>
  <c r="S445"/>
  <c r="S86"/>
  <c r="S62"/>
  <c r="S425"/>
  <c r="S385"/>
  <c r="T477"/>
  <c r="T313"/>
  <c r="S82"/>
  <c r="S58"/>
  <c r="T318"/>
  <c r="S51"/>
  <c r="S296"/>
  <c r="S350"/>
  <c r="S386"/>
  <c r="S422"/>
  <c r="T482"/>
  <c r="S39"/>
  <c r="S153"/>
  <c r="T307"/>
  <c r="S260"/>
  <c r="S304"/>
  <c r="S358"/>
  <c r="S406"/>
  <c r="S75"/>
  <c r="T462"/>
  <c r="S217"/>
  <c r="T315"/>
  <c r="S106"/>
  <c r="S43"/>
  <c r="S122"/>
  <c r="S256"/>
  <c r="S288"/>
  <c r="S322"/>
  <c r="S378"/>
  <c r="S414"/>
  <c r="T52"/>
  <c r="T324"/>
  <c r="S458"/>
  <c r="S138"/>
  <c r="T344"/>
  <c r="T154"/>
  <c r="S50"/>
  <c r="T56"/>
  <c r="T80"/>
  <c r="S388"/>
  <c r="S430"/>
  <c r="T454"/>
  <c r="T474"/>
  <c r="S325"/>
  <c r="S459"/>
  <c r="S185"/>
  <c r="S45"/>
  <c r="T57"/>
  <c r="T73"/>
  <c r="T489"/>
  <c r="S505"/>
  <c r="T263"/>
  <c r="S371"/>
  <c r="S521"/>
  <c r="S92"/>
  <c r="S130"/>
  <c r="S192"/>
  <c r="S282"/>
  <c r="S336"/>
  <c r="T186"/>
  <c r="S509"/>
  <c r="S403"/>
  <c r="S520"/>
  <c r="S235"/>
  <c r="T356"/>
  <c r="S302"/>
  <c r="S396"/>
  <c r="S337"/>
  <c r="S173"/>
  <c r="S41"/>
  <c r="T259"/>
  <c r="T299"/>
  <c r="S367"/>
  <c r="S60"/>
  <c r="S232"/>
  <c r="S426"/>
  <c r="S352"/>
  <c r="S502"/>
  <c r="S112"/>
  <c r="T384"/>
  <c r="S303"/>
  <c r="T240"/>
  <c r="T208"/>
  <c r="T176"/>
  <c r="T144"/>
  <c r="T44"/>
  <c r="T420"/>
  <c r="T380"/>
  <c r="S438"/>
  <c r="T486"/>
  <c r="S91"/>
  <c r="S141"/>
  <c r="S201"/>
  <c r="T63"/>
  <c r="T71"/>
  <c r="S79"/>
  <c r="T275"/>
  <c r="T321"/>
  <c r="S363"/>
  <c r="S399"/>
  <c r="S98"/>
  <c r="S68"/>
  <c r="S464"/>
  <c r="S170"/>
  <c r="S226"/>
  <c r="S236"/>
  <c r="S272"/>
  <c r="S292"/>
  <c r="S320"/>
  <c r="S342"/>
  <c r="S416"/>
  <c r="S341"/>
  <c r="T295"/>
  <c r="T434"/>
  <c r="S333"/>
  <c r="S137"/>
  <c r="T271"/>
  <c r="S387"/>
  <c r="T40"/>
  <c r="S270"/>
  <c r="S470"/>
  <c r="S488"/>
  <c r="S31"/>
  <c r="S401"/>
  <c r="T449"/>
  <c r="S481"/>
  <c r="S457"/>
  <c r="T297"/>
  <c r="S359"/>
  <c r="S84"/>
  <c r="S100"/>
  <c r="S66"/>
  <c r="S120"/>
  <c r="S440"/>
  <c r="S254"/>
  <c r="S264"/>
  <c r="S368"/>
  <c r="T294"/>
  <c r="T348"/>
  <c r="T492"/>
  <c r="S55"/>
  <c r="S417"/>
  <c r="S431"/>
  <c r="T283"/>
  <c r="S335"/>
  <c r="S395"/>
  <c r="S427"/>
  <c r="S526"/>
  <c r="S510"/>
  <c r="S104"/>
  <c r="S88"/>
  <c r="S228"/>
  <c r="S280"/>
  <c r="T514"/>
  <c r="T443"/>
  <c r="T314"/>
  <c r="S277"/>
  <c r="T248"/>
  <c r="T216"/>
  <c r="T200"/>
  <c r="T184"/>
  <c r="T168"/>
  <c r="T152"/>
  <c r="T136"/>
  <c r="S404"/>
  <c r="S473"/>
  <c r="S391"/>
  <c r="S94"/>
  <c r="T466"/>
  <c r="S487"/>
  <c r="S365"/>
  <c r="S512"/>
  <c r="S74"/>
  <c r="S142"/>
  <c r="S158"/>
  <c r="S182"/>
  <c r="S198"/>
  <c r="S222"/>
  <c r="S398"/>
  <c r="S48"/>
  <c r="S262"/>
  <c r="S412"/>
  <c r="S446"/>
  <c r="S476"/>
  <c r="T498"/>
  <c r="S29"/>
  <c r="S123"/>
  <c r="S421"/>
  <c r="S373"/>
  <c r="S357"/>
  <c r="S107"/>
  <c r="S455"/>
  <c r="S37"/>
  <c r="S67"/>
  <c r="S187"/>
  <c r="S469"/>
  <c r="T281"/>
  <c r="S415"/>
  <c r="S452"/>
  <c r="S110"/>
  <c r="S102"/>
  <c r="S230"/>
  <c r="S243"/>
  <c r="S326"/>
  <c r="S354"/>
  <c r="S376"/>
  <c r="S418"/>
  <c r="S278"/>
  <c r="T490"/>
  <c r="S501"/>
  <c r="S64"/>
  <c r="S126"/>
  <c r="S150"/>
  <c r="S174"/>
  <c r="S206"/>
  <c r="S227"/>
  <c r="S246"/>
  <c r="S382"/>
  <c r="S115"/>
  <c r="S219"/>
  <c r="S155"/>
  <c r="S517"/>
  <c r="S351"/>
  <c r="S134"/>
  <c r="S166"/>
  <c r="S190"/>
  <c r="S214"/>
  <c r="S312"/>
  <c r="T504"/>
  <c r="T429"/>
  <c r="T393"/>
  <c r="T329"/>
  <c r="S309"/>
  <c r="S301"/>
  <c r="T290"/>
  <c r="S273"/>
  <c r="S265"/>
  <c r="T238"/>
  <c r="T118"/>
  <c r="T77"/>
  <c r="D41" i="50"/>
  <c r="B63" i="60" s="1"/>
  <c r="S332" i="31"/>
  <c r="S472"/>
  <c r="S484"/>
  <c r="T494"/>
  <c r="S495"/>
  <c r="S447"/>
  <c r="S169"/>
  <c r="S171"/>
  <c r="S441"/>
  <c r="S461"/>
  <c r="S105"/>
  <c r="T323"/>
  <c r="S450"/>
  <c r="S108"/>
  <c r="S70"/>
  <c r="S499"/>
  <c r="S132"/>
  <c r="S140"/>
  <c r="S148"/>
  <c r="S156"/>
  <c r="S164"/>
  <c r="S172"/>
  <c r="S180"/>
  <c r="S188"/>
  <c r="S196"/>
  <c r="S204"/>
  <c r="S212"/>
  <c r="S220"/>
  <c r="S244"/>
  <c r="S251"/>
  <c r="S306"/>
  <c r="S334"/>
  <c r="S346"/>
  <c r="S390"/>
  <c r="S410"/>
  <c r="AC42" i="34"/>
  <c r="S34"/>
  <c r="G17" i="43"/>
  <c r="C16" s="1"/>
  <c r="AB42" i="34"/>
  <c r="AA42"/>
  <c r="W40"/>
  <c r="U39"/>
  <c r="U45"/>
  <c r="AB45"/>
  <c r="AC47"/>
  <c r="U47"/>
  <c r="F45"/>
  <c r="AC45"/>
  <c r="S46"/>
  <c r="S44"/>
  <c r="W38"/>
  <c r="AB38"/>
  <c r="C14" i="12"/>
  <c r="AB37" i="34"/>
  <c r="W35"/>
  <c r="S35"/>
  <c r="W44"/>
  <c r="U44"/>
  <c r="AC43"/>
  <c r="AA40"/>
  <c r="AC39"/>
  <c r="S37"/>
  <c r="W37"/>
  <c r="U36"/>
  <c r="U35"/>
  <c r="F90"/>
  <c r="G90" s="1"/>
  <c r="H90" s="1"/>
  <c r="I90" s="1"/>
  <c r="J90" s="1"/>
  <c r="K90" s="1"/>
  <c r="L90" s="1"/>
  <c r="M90" s="1"/>
  <c r="H27"/>
  <c r="J27"/>
  <c r="F27"/>
  <c r="S27" s="1"/>
  <c r="J25"/>
  <c r="W25" s="1"/>
  <c r="F25"/>
  <c r="S25" s="1"/>
  <c r="H25"/>
  <c r="U25" s="1"/>
  <c r="F88"/>
  <c r="G88" s="1"/>
  <c r="H88" s="1"/>
  <c r="I88" s="1"/>
  <c r="J88" s="1"/>
  <c r="K88" s="1"/>
  <c r="L88" s="1"/>
  <c r="M88" s="1"/>
  <c r="W23"/>
  <c r="AC23"/>
  <c r="E86"/>
  <c r="F86" s="1"/>
  <c r="G86" s="1"/>
  <c r="U19"/>
  <c r="AB19"/>
  <c r="J19"/>
  <c r="W19" s="1"/>
  <c r="E82"/>
  <c r="F82" s="1"/>
  <c r="G82" s="1"/>
  <c r="E80"/>
  <c r="F80" s="1"/>
  <c r="G80" s="1"/>
  <c r="W17"/>
  <c r="F17"/>
  <c r="AA17" s="1"/>
  <c r="W15"/>
  <c r="H10"/>
  <c r="U10" s="1"/>
  <c r="J10"/>
  <c r="W10" s="1"/>
  <c r="W34"/>
  <c r="AA33"/>
  <c r="AB33"/>
  <c r="W29"/>
  <c r="AC29"/>
  <c r="S32"/>
  <c r="AA32"/>
  <c r="AB28"/>
  <c r="U30"/>
  <c r="AA31"/>
  <c r="AC32"/>
  <c r="AC31"/>
  <c r="H32"/>
  <c r="F29"/>
  <c r="J28"/>
  <c r="H29"/>
  <c r="AB17"/>
  <c r="U15"/>
  <c r="F14" i="48"/>
  <c r="H14" s="1"/>
  <c r="U41" i="34"/>
  <c r="AB40"/>
  <c r="AC36"/>
  <c r="AB34"/>
  <c r="AC33"/>
  <c r="F9" i="48"/>
  <c r="H9" s="1"/>
  <c r="F6"/>
  <c r="H6" s="1"/>
  <c r="B10"/>
  <c r="D10" s="1"/>
  <c r="AA28" i="34"/>
  <c r="AB11"/>
  <c r="AC11"/>
  <c r="B63" i="43"/>
  <c r="C29" i="39"/>
  <c r="B55" i="43"/>
  <c r="B75"/>
  <c r="B77"/>
  <c r="B73"/>
  <c r="B67"/>
  <c r="B74"/>
  <c r="U23" i="34"/>
  <c r="AA23"/>
  <c r="W21"/>
  <c r="AA21"/>
  <c r="AC9"/>
  <c r="AB9"/>
  <c r="C7" i="33"/>
  <c r="C58" s="1"/>
  <c r="D58" s="1"/>
  <c r="B13" i="1"/>
  <c r="B14" s="1"/>
  <c r="H10" i="39" s="1"/>
  <c r="G19" i="43"/>
  <c r="C7" i="39"/>
  <c r="C68" s="1"/>
  <c r="C7" i="40"/>
  <c r="C63" s="1"/>
  <c r="C65" s="1"/>
  <c r="J52" i="15"/>
  <c r="M60" s="1"/>
  <c r="C15" i="12"/>
  <c r="C23"/>
  <c r="B6" i="48"/>
  <c r="D6" s="1"/>
  <c r="B14"/>
  <c r="D14" s="1"/>
  <c r="F10"/>
  <c r="H10" s="1"/>
  <c r="B9"/>
  <c r="D9" s="1"/>
  <c r="B7"/>
  <c r="D7" s="1"/>
  <c r="F13"/>
  <c r="H13" s="1"/>
  <c r="F11"/>
  <c r="H11" s="1"/>
  <c r="D69" i="57"/>
  <c r="F48" i="9"/>
  <c r="O52" s="1"/>
  <c r="F55" i="57"/>
  <c r="F53" i="9"/>
  <c r="M18" i="15"/>
  <c r="F52" i="9"/>
  <c r="D68"/>
  <c r="F54" i="57"/>
  <c r="F28" i="15"/>
  <c r="F53" i="57"/>
  <c r="F32" i="15"/>
  <c r="F61" s="1"/>
  <c r="F31" i="12"/>
  <c r="C31" s="1"/>
  <c r="F30" i="11"/>
  <c r="F49" i="57"/>
  <c r="O53" s="1"/>
  <c r="F54" i="9"/>
  <c r="D79" i="57"/>
  <c r="C92" i="9"/>
  <c r="C93" i="57"/>
  <c r="T448" i="31"/>
  <c r="S448"/>
  <c r="T308"/>
  <c r="S308"/>
  <c r="T253"/>
  <c r="S253"/>
  <c r="T245"/>
  <c r="S245"/>
  <c r="S213"/>
  <c r="T213"/>
  <c r="S197"/>
  <c r="T197"/>
  <c r="S181"/>
  <c r="T181"/>
  <c r="S165"/>
  <c r="T165"/>
  <c r="S149"/>
  <c r="T149"/>
  <c r="S467"/>
  <c r="T467"/>
  <c r="T432"/>
  <c r="S432"/>
  <c r="T413"/>
  <c r="S413"/>
  <c r="T349"/>
  <c r="S349"/>
  <c r="S293"/>
  <c r="T293"/>
  <c r="T276"/>
  <c r="S276"/>
  <c r="T257"/>
  <c r="S257"/>
  <c r="T249"/>
  <c r="S249"/>
  <c r="T241"/>
  <c r="S241"/>
  <c r="T233"/>
  <c r="S233"/>
  <c r="T225"/>
  <c r="S225"/>
  <c r="T209"/>
  <c r="S209"/>
  <c r="T193"/>
  <c r="S193"/>
  <c r="T177"/>
  <c r="S177"/>
  <c r="T161"/>
  <c r="S161"/>
  <c r="T145"/>
  <c r="S145"/>
  <c r="T129"/>
  <c r="S129"/>
  <c r="T121"/>
  <c r="S121"/>
  <c r="T113"/>
  <c r="S113"/>
  <c r="T97"/>
  <c r="S97"/>
  <c r="T81"/>
  <c r="S81"/>
  <c r="T61"/>
  <c r="S61"/>
  <c r="T49"/>
  <c r="S49"/>
  <c r="S32"/>
  <c r="T32"/>
  <c r="S366"/>
  <c r="D42" i="50"/>
  <c r="D43" s="1"/>
  <c r="T36" i="31"/>
  <c r="S46"/>
  <c r="S372"/>
  <c r="S157"/>
  <c r="S189"/>
  <c r="S221"/>
  <c r="S497"/>
  <c r="S199"/>
  <c r="S167"/>
  <c r="S135"/>
  <c r="S453"/>
  <c r="S109"/>
  <c r="S355"/>
  <c r="S419"/>
  <c r="S72"/>
  <c r="S231"/>
  <c r="S247"/>
  <c r="S274"/>
  <c r="S400"/>
  <c r="T527"/>
  <c r="T523"/>
  <c r="T519"/>
  <c r="S513"/>
  <c r="T513"/>
  <c r="S439"/>
  <c r="T439"/>
  <c r="T402"/>
  <c r="S402"/>
  <c r="S338"/>
  <c r="T338"/>
  <c r="T319"/>
  <c r="S319"/>
  <c r="S223"/>
  <c r="T223"/>
  <c r="S207"/>
  <c r="T207"/>
  <c r="S191"/>
  <c r="T191"/>
  <c r="S175"/>
  <c r="T175"/>
  <c r="S159"/>
  <c r="T159"/>
  <c r="S143"/>
  <c r="T143"/>
  <c r="S127"/>
  <c r="T127"/>
  <c r="S119"/>
  <c r="T119"/>
  <c r="S111"/>
  <c r="T111"/>
  <c r="T95"/>
  <c r="S95"/>
  <c r="S30"/>
  <c r="T30"/>
  <c r="B124" i="57"/>
  <c r="H102"/>
  <c r="S511" i="31"/>
  <c r="T511"/>
  <c r="S475"/>
  <c r="T475"/>
  <c r="T381"/>
  <c r="S381"/>
  <c r="S261"/>
  <c r="T261"/>
  <c r="T237"/>
  <c r="S237"/>
  <c r="T229"/>
  <c r="S229"/>
  <c r="S133"/>
  <c r="T133"/>
  <c r="S101"/>
  <c r="T101"/>
  <c r="S93"/>
  <c r="T93"/>
  <c r="T69"/>
  <c r="S69"/>
  <c r="S460"/>
  <c r="T460"/>
  <c r="T370"/>
  <c r="S370"/>
  <c r="T287"/>
  <c r="S287"/>
  <c r="T211"/>
  <c r="S211"/>
  <c r="T195"/>
  <c r="S195"/>
  <c r="T179"/>
  <c r="S179"/>
  <c r="T163"/>
  <c r="S163"/>
  <c r="T147"/>
  <c r="S147"/>
  <c r="T131"/>
  <c r="S131"/>
  <c r="S99"/>
  <c r="T99"/>
  <c r="S83"/>
  <c r="T83"/>
  <c r="S34"/>
  <c r="T34"/>
  <c r="S310"/>
  <c r="S215"/>
  <c r="S183"/>
  <c r="S151"/>
  <c r="T291"/>
  <c r="S239"/>
  <c r="S255"/>
  <c r="T478"/>
  <c r="S500"/>
  <c r="S125"/>
  <c r="S87"/>
  <c r="T289"/>
  <c r="S383"/>
  <c r="S479"/>
  <c r="S463"/>
  <c r="S435"/>
  <c r="S451"/>
  <c r="S485"/>
  <c r="S507"/>
  <c r="S437"/>
  <c r="S465"/>
  <c r="T285"/>
  <c r="T317"/>
  <c r="S343"/>
  <c r="S375"/>
  <c r="S407"/>
  <c r="S456"/>
  <c r="S503"/>
  <c r="S444"/>
  <c r="S266"/>
  <c r="S298"/>
  <c r="S328"/>
  <c r="S360"/>
  <c r="S392"/>
  <c r="S424"/>
  <c r="S47"/>
  <c r="S409"/>
  <c r="S377"/>
  <c r="S345"/>
  <c r="T279"/>
  <c r="T311"/>
  <c r="S347"/>
  <c r="S379"/>
  <c r="S411"/>
  <c r="S268"/>
  <c r="S300"/>
  <c r="S330"/>
  <c r="S362"/>
  <c r="S394"/>
  <c r="D11" i="50"/>
  <c r="B25" i="60" s="1"/>
  <c r="D18" i="1"/>
  <c r="F50" i="11"/>
  <c r="F34"/>
  <c r="D19" i="1"/>
  <c r="F19"/>
  <c r="C12" i="12"/>
  <c r="C95" i="57"/>
  <c r="D24" i="15"/>
  <c r="C94" i="9"/>
  <c r="F117"/>
  <c r="C116"/>
  <c r="H114" s="1"/>
  <c r="C117" i="57"/>
  <c r="H113" s="1"/>
  <c r="C114"/>
  <c r="H109" s="1"/>
  <c r="C113"/>
  <c r="H108" s="1"/>
  <c r="C119"/>
  <c r="H115" s="1"/>
  <c r="C106" i="9"/>
  <c r="H102" s="1"/>
  <c r="C109" i="57"/>
  <c r="H103" s="1"/>
  <c r="G124"/>
  <c r="C2" i="31"/>
  <c r="I23" s="1"/>
  <c r="B103" i="9"/>
  <c r="H106" i="57"/>
  <c r="C112" i="9"/>
  <c r="H110" s="1"/>
  <c r="C15" i="50"/>
  <c r="D19"/>
  <c r="B32" i="60" s="1"/>
  <c r="C110" i="9"/>
  <c r="H107" s="1"/>
  <c r="P51" i="15"/>
  <c r="C14" i="50"/>
  <c r="C18"/>
  <c r="H105" i="9"/>
  <c r="C109"/>
  <c r="H106" s="1"/>
  <c r="C51" i="10"/>
  <c r="A121" i="9"/>
  <c r="B6" i="50"/>
  <c r="B17" i="60" s="1"/>
  <c r="A16" i="55"/>
  <c r="B46" i="60" s="1"/>
  <c r="H64" i="43"/>
  <c r="H66"/>
  <c r="H62"/>
  <c r="H65"/>
  <c r="H85"/>
  <c r="H53"/>
  <c r="H76"/>
  <c r="H87"/>
  <c r="H84"/>
  <c r="H59"/>
  <c r="H83"/>
  <c r="H82"/>
  <c r="H74"/>
  <c r="H73"/>
  <c r="H86"/>
  <c r="H60"/>
  <c r="D5"/>
  <c r="C5"/>
  <c r="G64" i="39"/>
  <c r="C64" s="1"/>
  <c r="H52" i="43"/>
  <c r="H75"/>
  <c r="H71"/>
  <c r="H77"/>
  <c r="H72"/>
  <c r="M7" i="15"/>
  <c r="D3" i="36"/>
  <c r="D3" i="35"/>
  <c r="M29" i="15"/>
  <c r="F7"/>
  <c r="F31" s="1"/>
  <c r="E18" i="1"/>
  <c r="M46" i="9"/>
  <c r="B58" i="60"/>
  <c r="B42" i="50"/>
  <c r="D7" i="62"/>
  <c r="C7"/>
  <c r="I113" i="9"/>
  <c r="D129"/>
  <c r="D12" i="52" s="1"/>
  <c r="A132" i="57"/>
  <c r="D21" i="50"/>
  <c r="B33" i="60" s="1"/>
  <c r="A129" i="9"/>
  <c r="A12" i="52" s="1"/>
  <c r="B67" i="60" s="1"/>
  <c r="A130" i="57"/>
  <c r="A2" i="9"/>
  <c r="K57" i="57"/>
  <c r="J56" i="9"/>
  <c r="J57" s="1"/>
  <c r="J59" s="1"/>
  <c r="J61" s="1"/>
  <c r="M56"/>
  <c r="N57" i="57"/>
  <c r="K56" i="9"/>
  <c r="M57" i="57"/>
  <c r="F10" i="39"/>
  <c r="J7" i="35"/>
  <c r="H7"/>
  <c r="F7"/>
  <c r="C32" i="15"/>
  <c r="C70" i="39"/>
  <c r="D68"/>
  <c r="C77" i="9"/>
  <c r="C74" s="1"/>
  <c r="G59" i="34"/>
  <c r="H59" s="1"/>
  <c r="I59" s="1"/>
  <c r="J59" s="1"/>
  <c r="K59" s="1"/>
  <c r="L59" s="1"/>
  <c r="M59" s="1"/>
  <c r="N59" s="1"/>
  <c r="O59" s="1"/>
  <c r="J1" i="61"/>
  <c r="J18" i="15"/>
  <c r="C7" i="36"/>
  <c r="C46" s="1"/>
  <c r="C7" i="37"/>
  <c r="C52" s="1"/>
  <c r="C7" i="21"/>
  <c r="F21" i="48"/>
  <c r="H21" s="1"/>
  <c r="F7"/>
  <c r="H7" s="1"/>
  <c r="B8"/>
  <c r="D8" s="1"/>
  <c r="B13"/>
  <c r="B22"/>
  <c r="D22" s="1"/>
  <c r="F22"/>
  <c r="H22" s="1"/>
  <c r="B11"/>
  <c r="F8"/>
  <c r="H8" s="1"/>
  <c r="B4"/>
  <c r="D4" s="1"/>
  <c r="I1" i="61"/>
  <c r="B30" i="1" s="1"/>
  <c r="D5" i="61"/>
  <c r="D4"/>
  <c r="D6"/>
  <c r="S40" i="21" l="1"/>
  <c r="F8" i="59"/>
  <c r="F7" s="1"/>
  <c r="F6" s="1"/>
  <c r="F5" s="1"/>
  <c r="V9"/>
  <c r="P56"/>
  <c r="E55"/>
  <c r="C33"/>
  <c r="D32"/>
  <c r="D64"/>
  <c r="C63"/>
  <c r="D63" s="1"/>
  <c r="O54"/>
  <c r="O55"/>
  <c r="D55"/>
  <c r="D48"/>
  <c r="C49"/>
  <c r="W23" i="36"/>
  <c r="AC23"/>
  <c r="C45" i="59"/>
  <c r="D44"/>
  <c r="D28"/>
  <c r="C29"/>
  <c r="AB36" i="35"/>
  <c r="U36"/>
  <c r="S12" i="34"/>
  <c r="AA12"/>
  <c r="S17"/>
  <c r="H7"/>
  <c r="AA27"/>
  <c r="AA19"/>
  <c r="J33" i="21"/>
  <c r="H33"/>
  <c r="F33"/>
  <c r="C41" i="59"/>
  <c r="D40"/>
  <c r="S12" i="35"/>
  <c r="AA12"/>
  <c r="AA39" i="40"/>
  <c r="S39"/>
  <c r="U12" i="35"/>
  <c r="AB12"/>
  <c r="E7" i="64"/>
  <c r="C59"/>
  <c r="D59" s="1"/>
  <c r="E59" s="1"/>
  <c r="F59" s="1"/>
  <c r="G59" s="1"/>
  <c r="H59" s="1"/>
  <c r="I59" s="1"/>
  <c r="J59" s="1"/>
  <c r="K59" s="1"/>
  <c r="L59" s="1"/>
  <c r="M59" s="1"/>
  <c r="N59" s="1"/>
  <c r="O59" s="1"/>
  <c r="D8" i="62"/>
  <c r="C53" i="59"/>
  <c r="D52"/>
  <c r="C58" i="21"/>
  <c r="E7"/>
  <c r="G7"/>
  <c r="I7" s="1"/>
  <c r="C78" i="57"/>
  <c r="C75" s="1"/>
  <c r="I20" i="43"/>
  <c r="C20" s="1"/>
  <c r="E124" i="57"/>
  <c r="C30" i="11"/>
  <c r="C28" i="15"/>
  <c r="S43" i="34"/>
  <c r="AC9" i="21"/>
  <c r="C24" i="59"/>
  <c r="D23"/>
  <c r="D16"/>
  <c r="C15"/>
  <c r="D15" s="1"/>
  <c r="AA9" i="35"/>
  <c r="S9"/>
  <c r="D20" i="59"/>
  <c r="C21"/>
  <c r="U23" i="36"/>
  <c r="AB23"/>
  <c r="AB9" i="35"/>
  <c r="U9"/>
  <c r="AA37" i="21"/>
  <c r="S37"/>
  <c r="AA13"/>
  <c r="S13"/>
  <c r="W13"/>
  <c r="AC13"/>
  <c r="AA12"/>
  <c r="S12"/>
  <c r="W42"/>
  <c r="U42"/>
  <c r="AA42"/>
  <c r="S42"/>
  <c r="AC43"/>
  <c r="W43"/>
  <c r="AB43"/>
  <c r="U43"/>
  <c r="S43"/>
  <c r="AA43"/>
  <c r="U37"/>
  <c r="AB37"/>
  <c r="W36"/>
  <c r="AA36"/>
  <c r="U45"/>
  <c r="AB45"/>
  <c r="L49" i="15"/>
  <c r="L57" s="1"/>
  <c r="J10" i="39"/>
  <c r="J10" i="40"/>
  <c r="L60" i="15"/>
  <c r="Q59" s="1"/>
  <c r="S45" i="34"/>
  <c r="AA45"/>
  <c r="C16" i="12"/>
  <c r="C21" s="1"/>
  <c r="C22" s="1"/>
  <c r="C30" s="1"/>
  <c r="C28" s="1"/>
  <c r="U27" i="34"/>
  <c r="AB27"/>
  <c r="AC27"/>
  <c r="W27"/>
  <c r="AA25"/>
  <c r="AC25"/>
  <c r="AB25"/>
  <c r="AC19"/>
  <c r="AB10"/>
  <c r="AC10"/>
  <c r="AB29"/>
  <c r="U29"/>
  <c r="U32"/>
  <c r="AB32"/>
  <c r="S29"/>
  <c r="AA29"/>
  <c r="W28"/>
  <c r="AC28"/>
  <c r="E58" i="33"/>
  <c r="F58" s="1"/>
  <c r="G58" s="1"/>
  <c r="H58" s="1"/>
  <c r="I58" s="1"/>
  <c r="J58" s="1"/>
  <c r="K58" s="1"/>
  <c r="L58" s="1"/>
  <c r="M58" s="1"/>
  <c r="N58" s="1"/>
  <c r="O58" s="1"/>
  <c r="P25" i="43"/>
  <c r="P22"/>
  <c r="C19"/>
  <c r="C39" s="1"/>
  <c r="O19"/>
  <c r="P23"/>
  <c r="P24"/>
  <c r="B66" i="40" s="1"/>
  <c r="P21" i="43"/>
  <c r="B71" i="39" s="1"/>
  <c r="F10" i="40"/>
  <c r="D63"/>
  <c r="D65" s="1"/>
  <c r="H10"/>
  <c r="AB10" s="1"/>
  <c r="T7" i="43"/>
  <c r="V7" s="1"/>
  <c r="N60" i="15"/>
  <c r="C48" i="11"/>
  <c r="T14" i="43"/>
  <c r="V14" s="1"/>
  <c r="D22" i="50"/>
  <c r="B35" i="60" s="1"/>
  <c r="T5" i="43"/>
  <c r="V5" s="1"/>
  <c r="C38"/>
  <c r="E38" s="1"/>
  <c r="F51" i="15"/>
  <c r="C6"/>
  <c r="C34" i="11"/>
  <c r="C36" s="1"/>
  <c r="C14" i="15"/>
  <c r="M17"/>
  <c r="J6"/>
  <c r="D128" i="9"/>
  <c r="D11" i="52" s="1"/>
  <c r="D20" i="50"/>
  <c r="D11" i="48"/>
  <c r="E3" i="4"/>
  <c r="B5" i="55" s="1"/>
  <c r="B55" i="60" s="1"/>
  <c r="D13" i="48"/>
  <c r="C3" i="4"/>
  <c r="K1" i="61"/>
  <c r="E20" i="43"/>
  <c r="N28" s="1"/>
  <c r="D58" i="21"/>
  <c r="E58" s="1"/>
  <c r="F58" s="1"/>
  <c r="G58" s="1"/>
  <c r="H58" s="1"/>
  <c r="I58" s="1"/>
  <c r="J58" s="1"/>
  <c r="K58" s="1"/>
  <c r="L58" s="1"/>
  <c r="M58" s="1"/>
  <c r="N58" s="1"/>
  <c r="O58" s="1"/>
  <c r="S10" i="40"/>
  <c r="AA10"/>
  <c r="U7" i="34"/>
  <c r="AB7"/>
  <c r="AA10" i="39"/>
  <c r="S10"/>
  <c r="AC10"/>
  <c r="W10"/>
  <c r="E68"/>
  <c r="D70"/>
  <c r="AC7" i="35"/>
  <c r="V38" s="1"/>
  <c r="I38" s="1"/>
  <c r="W7"/>
  <c r="AC10" i="40"/>
  <c r="W10"/>
  <c r="J7" i="36"/>
  <c r="F7"/>
  <c r="D46"/>
  <c r="E46" s="1"/>
  <c r="F46" s="1"/>
  <c r="G46" s="1"/>
  <c r="H46" s="1"/>
  <c r="I46" s="1"/>
  <c r="J46" s="1"/>
  <c r="K46" s="1"/>
  <c r="L46" s="1"/>
  <c r="M46" s="1"/>
  <c r="N46" s="1"/>
  <c r="O46" s="1"/>
  <c r="C35" i="43"/>
  <c r="T2"/>
  <c r="V2" s="1"/>
  <c r="T9"/>
  <c r="V9" s="1"/>
  <c r="T8"/>
  <c r="V8" s="1"/>
  <c r="T13"/>
  <c r="V13" s="1"/>
  <c r="T12"/>
  <c r="V12" s="1"/>
  <c r="S7" i="35"/>
  <c r="AA7"/>
  <c r="R38" s="1"/>
  <c r="AB7"/>
  <c r="T38" s="1"/>
  <c r="G38" s="1"/>
  <c r="U7"/>
  <c r="H7" i="37"/>
  <c r="D52"/>
  <c r="E52" s="1"/>
  <c r="F52" s="1"/>
  <c r="G52" s="1"/>
  <c r="H52" s="1"/>
  <c r="I52" s="1"/>
  <c r="J52" s="1"/>
  <c r="K52" s="1"/>
  <c r="L52" s="1"/>
  <c r="M52" s="1"/>
  <c r="N52" s="1"/>
  <c r="O52" s="1"/>
  <c r="AB10" i="39"/>
  <c r="U10"/>
  <c r="T10" i="43"/>
  <c r="V10" s="1"/>
  <c r="C29"/>
  <c r="J7" i="34"/>
  <c r="F7"/>
  <c r="H7" i="33"/>
  <c r="M11" i="15"/>
  <c r="J10" s="1"/>
  <c r="F11"/>
  <c r="G1" i="61"/>
  <c r="D3"/>
  <c r="D7"/>
  <c r="E63" i="40" l="1"/>
  <c r="C25" i="59"/>
  <c r="D24"/>
  <c r="W33" i="21"/>
  <c r="AC33"/>
  <c r="D45" i="59"/>
  <c r="T45"/>
  <c r="P54"/>
  <c r="P55"/>
  <c r="D21"/>
  <c r="T21"/>
  <c r="G7" i="64"/>
  <c r="F7"/>
  <c r="T41" i="59"/>
  <c r="D41"/>
  <c r="D29"/>
  <c r="T29"/>
  <c r="C36" i="43"/>
  <c r="G36" s="1"/>
  <c r="I36" s="1"/>
  <c r="D53" i="59"/>
  <c r="T53"/>
  <c r="AA33" i="21"/>
  <c r="S33"/>
  <c r="AB33"/>
  <c r="U33"/>
  <c r="T49" i="59"/>
  <c r="D49"/>
  <c r="T33"/>
  <c r="D33"/>
  <c r="I55" i="15"/>
  <c r="E36" i="43"/>
  <c r="L59" i="15"/>
  <c r="Q71" s="1"/>
  <c r="J54"/>
  <c r="Q50" s="1"/>
  <c r="J58"/>
  <c r="J56" s="1"/>
  <c r="J59" s="1"/>
  <c r="Q48" s="1"/>
  <c r="Q72"/>
  <c r="T49" i="34"/>
  <c r="G49" s="1"/>
  <c r="G53" s="1"/>
  <c r="H53" s="1"/>
  <c r="E39" i="43"/>
  <c r="G39"/>
  <c r="I39" s="1"/>
  <c r="C34"/>
  <c r="E34" s="1"/>
  <c r="T15"/>
  <c r="V15" s="1"/>
  <c r="F7" i="37"/>
  <c r="AA7" s="1"/>
  <c r="R42" s="1"/>
  <c r="U10" i="40"/>
  <c r="C33" i="43"/>
  <c r="G33" s="1"/>
  <c r="I33" s="1"/>
  <c r="C37"/>
  <c r="G37" s="1"/>
  <c r="I37" s="1"/>
  <c r="F7" i="33"/>
  <c r="S7" s="1"/>
  <c r="J7"/>
  <c r="T4" i="43"/>
  <c r="V4" s="1"/>
  <c r="T16"/>
  <c r="V16" s="1"/>
  <c r="J7" i="37"/>
  <c r="W7" s="1"/>
  <c r="T3" i="43"/>
  <c r="V3" s="1"/>
  <c r="T6"/>
  <c r="V6" s="1"/>
  <c r="T11"/>
  <c r="V11" s="1"/>
  <c r="G38"/>
  <c r="I38" s="1"/>
  <c r="C38" i="11"/>
  <c r="C35"/>
  <c r="J5" i="15"/>
  <c r="J26" s="1"/>
  <c r="C50"/>
  <c r="F60"/>
  <c r="C16"/>
  <c r="C18"/>
  <c r="C15"/>
  <c r="M28" i="43"/>
  <c r="P28"/>
  <c r="B18" i="49"/>
  <c r="B4" i="60" s="1"/>
  <c r="B4" i="55"/>
  <c r="B53" i="60" s="1"/>
  <c r="E27" i="1"/>
  <c r="F22" i="11" s="1"/>
  <c r="AC7" i="36"/>
  <c r="V36" s="1"/>
  <c r="I36" s="1"/>
  <c r="W7"/>
  <c r="Q58" i="15"/>
  <c r="AB7" i="33"/>
  <c r="T48" s="1"/>
  <c r="G48" s="1"/>
  <c r="U7"/>
  <c r="G42" i="35"/>
  <c r="H42" s="1"/>
  <c r="G43"/>
  <c r="H43" s="1"/>
  <c r="G35" i="43"/>
  <c r="I35" s="1"/>
  <c r="E35"/>
  <c r="AC7" i="34"/>
  <c r="V49" s="1"/>
  <c r="I49" s="1"/>
  <c r="W7"/>
  <c r="S7" i="36"/>
  <c r="AA7"/>
  <c r="R36" s="1"/>
  <c r="U7" i="37"/>
  <c r="AB7"/>
  <c r="T42" s="1"/>
  <c r="G42" s="1"/>
  <c r="AA7" i="34"/>
  <c r="R49" s="1"/>
  <c r="S7"/>
  <c r="E29" i="43"/>
  <c r="C30"/>
  <c r="E30" s="1"/>
  <c r="E38" i="35"/>
  <c r="R39"/>
  <c r="I42"/>
  <c r="J42" s="1"/>
  <c r="E70" i="39"/>
  <c r="F68"/>
  <c r="F63" i="40"/>
  <c r="E65"/>
  <c r="H7" i="21"/>
  <c r="O28" i="43"/>
  <c r="J7" i="21"/>
  <c r="H7" i="36"/>
  <c r="F7" i="21"/>
  <c r="C54" i="15"/>
  <c r="C10"/>
  <c r="C5" s="1"/>
  <c r="I7" i="64" l="1"/>
  <c r="J7" s="1"/>
  <c r="H7"/>
  <c r="T25" i="59"/>
  <c r="D25"/>
  <c r="M20" i="43" s="1"/>
  <c r="G34"/>
  <c r="I34" s="1"/>
  <c r="AA7" i="64"/>
  <c r="R49" s="1"/>
  <c r="S7"/>
  <c r="E37" i="43"/>
  <c r="E33"/>
  <c r="C26" s="1"/>
  <c r="B2" s="1"/>
  <c r="B3" s="1"/>
  <c r="B33" i="1"/>
  <c r="F41" i="15" s="1"/>
  <c r="F70" s="1"/>
  <c r="G54" i="34"/>
  <c r="H54" s="1"/>
  <c r="W7" i="33"/>
  <c r="AC7"/>
  <c r="V48" s="1"/>
  <c r="I48" s="1"/>
  <c r="I52" s="1"/>
  <c r="J52" s="1"/>
  <c r="S7" i="37"/>
  <c r="AA7" i="33"/>
  <c r="R48" s="1"/>
  <c r="R49" s="1"/>
  <c r="AC7" i="37"/>
  <c r="V42" s="1"/>
  <c r="I42" s="1"/>
  <c r="I46" s="1"/>
  <c r="J46" s="1"/>
  <c r="C33" i="11"/>
  <c r="C42" s="1"/>
  <c r="C19" i="15"/>
  <c r="C20" s="1"/>
  <c r="C26" s="1"/>
  <c r="J24"/>
  <c r="C27" i="43"/>
  <c r="C49" i="15"/>
  <c r="C67" s="1"/>
  <c r="F24"/>
  <c r="F25" i="12"/>
  <c r="C26" s="1"/>
  <c r="D25" s="1"/>
  <c r="S7" i="21"/>
  <c r="AA7"/>
  <c r="R48" s="1"/>
  <c r="C39" i="35"/>
  <c r="C38"/>
  <c r="AB7" i="36"/>
  <c r="T36" s="1"/>
  <c r="G36" s="1"/>
  <c r="U7"/>
  <c r="U7" i="21"/>
  <c r="AB7"/>
  <c r="T48" s="1"/>
  <c r="G48" s="1"/>
  <c r="E42" i="35"/>
  <c r="F42" s="1"/>
  <c r="E43"/>
  <c r="F43" s="1"/>
  <c r="E49" i="34"/>
  <c r="R50"/>
  <c r="I53"/>
  <c r="J53" s="1"/>
  <c r="F70" i="39"/>
  <c r="G68"/>
  <c r="G46" i="37"/>
  <c r="H46" s="1"/>
  <c r="G47"/>
  <c r="H47" s="1"/>
  <c r="G52" i="33"/>
  <c r="H52" s="1"/>
  <c r="G63" i="40"/>
  <c r="F65"/>
  <c r="I40" i="36"/>
  <c r="J40" s="1"/>
  <c r="W7" i="21"/>
  <c r="AC7"/>
  <c r="V48" s="1"/>
  <c r="I48" s="1"/>
  <c r="R37" i="36"/>
  <c r="E36"/>
  <c r="I41" s="1"/>
  <c r="J41" s="1"/>
  <c r="E42" i="37"/>
  <c r="R43"/>
  <c r="I43" i="35"/>
  <c r="J43" s="1"/>
  <c r="C38" i="15"/>
  <c r="C24" i="11"/>
  <c r="C44"/>
  <c r="D41" s="1"/>
  <c r="C25"/>
  <c r="C23"/>
  <c r="C26"/>
  <c r="D22" s="1"/>
  <c r="C61" i="15"/>
  <c r="E48" i="33" l="1"/>
  <c r="E49" i="64"/>
  <c r="R50"/>
  <c r="U7"/>
  <c r="AB7"/>
  <c r="T49" s="1"/>
  <c r="G49" s="1"/>
  <c r="AC7"/>
  <c r="V49" s="1"/>
  <c r="I49" s="1"/>
  <c r="W7"/>
  <c r="J29" i="15"/>
  <c r="G53" i="33"/>
  <c r="H53" s="1"/>
  <c r="I47" i="37"/>
  <c r="J47" s="1"/>
  <c r="C39" i="11"/>
  <c r="C46" s="1"/>
  <c r="C45" s="1"/>
  <c r="C27" i="12"/>
  <c r="C25" s="1"/>
  <c r="C32" s="1"/>
  <c r="B3" s="1"/>
  <c r="C23" i="15"/>
  <c r="C24"/>
  <c r="E53" i="34"/>
  <c r="F53" s="1"/>
  <c r="E54"/>
  <c r="F54" s="1"/>
  <c r="E46" i="37"/>
  <c r="F46" s="1"/>
  <c r="E47"/>
  <c r="F47" s="1"/>
  <c r="C50" i="34"/>
  <c r="B2" s="1"/>
  <c r="B3" s="1"/>
  <c r="C49"/>
  <c r="G53" i="21"/>
  <c r="H53" s="1"/>
  <c r="G52"/>
  <c r="H52" s="1"/>
  <c r="E48"/>
  <c r="I53" s="1"/>
  <c r="J53" s="1"/>
  <c r="R49"/>
  <c r="C42" i="37"/>
  <c r="C43"/>
  <c r="B2" s="1"/>
  <c r="B3" s="1"/>
  <c r="I52" i="21"/>
  <c r="J52" s="1"/>
  <c r="H68" i="39"/>
  <c r="G70"/>
  <c r="G41" i="36"/>
  <c r="H41" s="1"/>
  <c r="G40"/>
  <c r="H40" s="1"/>
  <c r="B3" i="35"/>
  <c r="B2"/>
  <c r="I54" i="34"/>
  <c r="J54" s="1"/>
  <c r="E41" i="36"/>
  <c r="F41" s="1"/>
  <c r="E40"/>
  <c r="F40" s="1"/>
  <c r="C48" i="33"/>
  <c r="C49"/>
  <c r="B2" s="1"/>
  <c r="C36" i="36"/>
  <c r="C37"/>
  <c r="B2" s="1"/>
  <c r="B3" s="1"/>
  <c r="E52" i="33"/>
  <c r="F52" s="1"/>
  <c r="E53"/>
  <c r="F53" s="1"/>
  <c r="I53"/>
  <c r="J53" s="1"/>
  <c r="G65" i="40"/>
  <c r="H63"/>
  <c r="C22" i="11"/>
  <c r="C31" s="1"/>
  <c r="C49" i="64" l="1"/>
  <c r="C50"/>
  <c r="I53"/>
  <c r="J53" s="1"/>
  <c r="I54"/>
  <c r="J54" s="1"/>
  <c r="E53"/>
  <c r="F53" s="1"/>
  <c r="E54"/>
  <c r="F54" s="1"/>
  <c r="G54"/>
  <c r="H54" s="1"/>
  <c r="G53"/>
  <c r="H53" s="1"/>
  <c r="B3" i="33"/>
  <c r="C43" i="11"/>
  <c r="C41" s="1"/>
  <c r="C49" s="1"/>
  <c r="C51" s="1"/>
  <c r="C52" s="1"/>
  <c r="C56" s="1"/>
  <c r="C57" s="1"/>
  <c r="C29" i="15"/>
  <c r="C13" s="1"/>
  <c r="B2" i="12"/>
  <c r="I63" i="40"/>
  <c r="H65"/>
  <c r="E53" i="21"/>
  <c r="F53" s="1"/>
  <c r="E52"/>
  <c r="F52" s="1"/>
  <c r="H70" i="39"/>
  <c r="I68"/>
  <c r="C49" i="21"/>
  <c r="B2" s="1"/>
  <c r="C48"/>
  <c r="J19" i="15"/>
  <c r="J17" s="1"/>
  <c r="C33"/>
  <c r="C31" s="1"/>
  <c r="D19" i="9"/>
  <c r="D101" l="1"/>
  <c r="B3" i="21"/>
  <c r="B2" i="64"/>
  <c r="B3"/>
  <c r="C58" i="15"/>
  <c r="C65" s="1"/>
  <c r="J14"/>
  <c r="J22" s="1"/>
  <c r="Q47"/>
  <c r="C36"/>
  <c r="J60"/>
  <c r="J61" s="1"/>
  <c r="Q46" s="1"/>
  <c r="J63" i="40"/>
  <c r="I65"/>
  <c r="J68" i="39"/>
  <c r="I70"/>
  <c r="C37" i="15"/>
  <c r="Q68"/>
  <c r="J34"/>
  <c r="C57"/>
  <c r="C66" s="1"/>
  <c r="B3" i="11"/>
  <c r="B2"/>
  <c r="C62" i="15"/>
  <c r="C60" s="1"/>
  <c r="D20" i="9"/>
  <c r="D102" l="1"/>
  <c r="C30" i="15"/>
  <c r="C39" s="1"/>
  <c r="Q67" s="1"/>
  <c r="Q66" s="1"/>
  <c r="J13"/>
  <c r="J23" s="1"/>
  <c r="J16" s="1"/>
  <c r="J25" s="1"/>
  <c r="C59"/>
  <c r="C68" s="1"/>
  <c r="C69" s="1"/>
  <c r="C72" s="1"/>
  <c r="J65" i="40"/>
  <c r="K63"/>
  <c r="J70" i="39"/>
  <c r="K68"/>
  <c r="J38" i="15" l="1"/>
  <c r="J39" s="1"/>
  <c r="C40"/>
  <c r="C43" s="1"/>
  <c r="K65" i="40"/>
  <c r="L63"/>
  <c r="L68" i="39"/>
  <c r="K70"/>
  <c r="Q54" i="15" l="1"/>
  <c r="L52"/>
  <c r="L58" s="1"/>
  <c r="L61" s="1"/>
  <c r="L47" s="1"/>
  <c r="B2" s="1"/>
  <c r="J41"/>
  <c r="D35" i="9" s="1"/>
  <c r="Q63" i="15"/>
  <c r="C47"/>
  <c r="Q45"/>
  <c r="Q51" s="1"/>
  <c r="M63" i="40"/>
  <c r="L65"/>
  <c r="L70" i="39"/>
  <c r="M68"/>
  <c r="C19" i="9"/>
  <c r="D22" l="1"/>
  <c r="C101"/>
  <c r="G19"/>
  <c r="B3" i="15"/>
  <c r="Q65"/>
  <c r="J42"/>
  <c r="N63" i="40"/>
  <c r="M65"/>
  <c r="N68" i="39"/>
  <c r="M70"/>
  <c r="D34" i="9"/>
  <c r="Q55" i="15"/>
  <c r="Q60" s="1"/>
  <c r="Q64"/>
  <c r="Q73" s="1"/>
  <c r="C20" i="9"/>
  <c r="G20" l="1"/>
  <c r="C102"/>
  <c r="O63" i="40"/>
  <c r="O65" s="1"/>
  <c r="N65"/>
  <c r="O68" i="39"/>
  <c r="O70" s="1"/>
  <c r="N70"/>
  <c r="C32" i="9" l="1"/>
  <c r="C35" s="1"/>
  <c r="C34" s="1"/>
  <c r="R27" i="31"/>
  <c r="J7" i="40"/>
  <c r="H7"/>
  <c r="F7"/>
  <c r="J7" i="39"/>
  <c r="H7"/>
  <c r="F7"/>
  <c r="S27" i="31" l="1"/>
  <c r="T27"/>
  <c r="C32" i="57"/>
  <c r="R28" i="31"/>
  <c r="AC7" i="40"/>
  <c r="V42" s="1"/>
  <c r="I42" s="1"/>
  <c r="W7"/>
  <c r="AB7"/>
  <c r="T42" s="1"/>
  <c r="G42" s="1"/>
  <c r="U7"/>
  <c r="S7"/>
  <c r="AA7"/>
  <c r="R42" s="1"/>
  <c r="U7" i="39"/>
  <c r="AB7"/>
  <c r="T47" s="1"/>
  <c r="G47" s="1"/>
  <c r="S7"/>
  <c r="AA7"/>
  <c r="R47" s="1"/>
  <c r="W7"/>
  <c r="AC7"/>
  <c r="V47" s="1"/>
  <c r="I47" s="1"/>
  <c r="T28" i="31" l="1"/>
  <c r="T25" s="1"/>
  <c r="S28"/>
  <c r="S25" s="1"/>
  <c r="I46" i="40"/>
  <c r="J46" s="1"/>
  <c r="E47" i="39"/>
  <c r="I52" s="1"/>
  <c r="J52" s="1"/>
  <c r="R48"/>
  <c r="E42" i="40"/>
  <c r="R43"/>
  <c r="G47"/>
  <c r="H47" s="1"/>
  <c r="G46"/>
  <c r="H46" s="1"/>
  <c r="I51" i="39"/>
  <c r="J51" s="1"/>
  <c r="G51"/>
  <c r="H51" s="1"/>
  <c r="G52"/>
  <c r="H52" s="1"/>
  <c r="R25" i="31" l="1"/>
  <c r="B24" s="1"/>
  <c r="B3" s="1"/>
  <c r="B23"/>
  <c r="B2" s="1"/>
  <c r="C42" i="40"/>
  <c r="C43"/>
  <c r="E52" i="39"/>
  <c r="F52" s="1"/>
  <c r="E51"/>
  <c r="F51" s="1"/>
  <c r="E46" i="40"/>
  <c r="F46" s="1"/>
  <c r="E47"/>
  <c r="F47" s="1"/>
  <c r="I47"/>
  <c r="J47" s="1"/>
  <c r="C48" i="39"/>
  <c r="C47"/>
  <c r="D20" i="57"/>
  <c r="D19"/>
  <c r="C19"/>
  <c r="C20"/>
  <c r="D103" l="1"/>
  <c r="D102"/>
  <c r="C103"/>
  <c r="G20"/>
  <c r="G19"/>
  <c r="D22"/>
  <c r="C102"/>
  <c r="C34"/>
  <c r="I124" s="1"/>
  <c r="I104" s="1"/>
  <c r="C33"/>
  <c r="H124" s="1"/>
  <c r="C106" s="1"/>
  <c r="B52" i="40"/>
  <c r="F52" s="1"/>
  <c r="B60"/>
  <c r="F60" s="1"/>
  <c r="B55"/>
  <c r="F55" s="1"/>
  <c r="B53"/>
  <c r="F53" s="1"/>
  <c r="B51"/>
  <c r="F51" s="1"/>
  <c r="F61" s="1"/>
  <c r="B2" s="1"/>
  <c r="B3" s="1"/>
  <c r="B54"/>
  <c r="F54" s="1"/>
  <c r="B56"/>
  <c r="F56" s="1"/>
  <c r="B58"/>
  <c r="F58" s="1"/>
  <c r="B57"/>
  <c r="F57" s="1"/>
  <c r="B59"/>
  <c r="F59" s="1"/>
  <c r="B61" i="39"/>
  <c r="F61" s="1"/>
  <c r="B57"/>
  <c r="F57" s="1"/>
  <c r="B56"/>
  <c r="F56" s="1"/>
  <c r="F66" s="1"/>
  <c r="B2" s="1"/>
  <c r="B3" s="1"/>
  <c r="B63"/>
  <c r="F63" s="1"/>
  <c r="B62"/>
  <c r="F62" s="1"/>
  <c r="B64"/>
  <c r="F64" s="1"/>
  <c r="B59"/>
  <c r="F59" s="1"/>
  <c r="B60"/>
  <c r="F60" s="1"/>
  <c r="B65"/>
  <c r="F65" s="1"/>
  <c r="B58"/>
  <c r="F58" s="1"/>
  <c r="G121" i="9"/>
  <c r="F121" s="1"/>
  <c r="E121"/>
  <c r="D121" s="1"/>
  <c r="I121"/>
  <c r="I4" i="52" s="1"/>
  <c r="D110" i="57" l="1"/>
  <c r="C107"/>
  <c r="C104"/>
  <c r="C105"/>
  <c r="I103"/>
  <c r="M49" s="1"/>
  <c r="H125"/>
  <c r="D109"/>
  <c r="D120" s="1"/>
  <c r="I116" s="1"/>
  <c r="G4" i="52"/>
  <c r="B41" i="60" s="1"/>
  <c r="F4" i="52"/>
  <c r="B40" i="60" s="1"/>
  <c r="F122" i="9"/>
  <c r="F5" i="52" s="1"/>
  <c r="B42" i="60" s="1"/>
  <c r="D122" i="9"/>
  <c r="D5" i="52" s="1"/>
  <c r="B39" i="60" s="1"/>
  <c r="D4" i="52"/>
  <c r="B37" i="60" s="1"/>
  <c r="D107" i="9"/>
  <c r="H121"/>
  <c r="D14" i="62" s="1"/>
  <c r="B5" s="1"/>
  <c r="E4" i="52"/>
  <c r="B38" i="60" s="1"/>
  <c r="C104" i="9"/>
  <c r="I103"/>
  <c r="E14" i="62" l="1"/>
  <c r="I111" i="57"/>
  <c r="D128" s="1"/>
  <c r="D115"/>
  <c r="D116" s="1"/>
  <c r="I112" s="1"/>
  <c r="D129" s="1"/>
  <c r="D10" i="52" s="1"/>
  <c r="F14" i="62"/>
  <c r="D46" i="57"/>
  <c r="D56" s="1"/>
  <c r="M54" s="1"/>
  <c r="C5" i="62"/>
  <c r="D5"/>
  <c r="D30" i="50"/>
  <c r="D9"/>
  <c r="B21" i="60" s="1"/>
  <c r="I102" i="9"/>
  <c r="C103"/>
  <c r="D106"/>
  <c r="D112" s="1"/>
  <c r="H4" i="52"/>
  <c r="H122" i="9"/>
  <c r="H5" i="52" s="1"/>
  <c r="M50" i="57" l="1"/>
  <c r="L64" s="1"/>
  <c r="M64" s="1"/>
  <c r="C65"/>
  <c r="C64" s="1"/>
  <c r="C68" s="1"/>
  <c r="C69" s="1"/>
  <c r="D55" s="1"/>
  <c r="C86"/>
  <c r="D54"/>
  <c r="D49" s="1"/>
  <c r="M53" s="1"/>
  <c r="C94"/>
  <c r="C87" s="1"/>
  <c r="C73"/>
  <c r="C79"/>
  <c r="C74" s="1"/>
  <c r="D53"/>
  <c r="M48" i="9"/>
  <c r="D28" i="50"/>
  <c r="D29" s="1"/>
  <c r="D7"/>
  <c r="I110" i="9"/>
  <c r="D45"/>
  <c r="D117"/>
  <c r="D113"/>
  <c r="L68" i="57" l="1"/>
  <c r="M68" s="1"/>
  <c r="L66"/>
  <c r="M66" s="1"/>
  <c r="L65"/>
  <c r="M65" s="1"/>
  <c r="L67"/>
  <c r="M67" s="1"/>
  <c r="L69"/>
  <c r="M69" s="1"/>
  <c r="C96"/>
  <c r="C97" s="1"/>
  <c r="E97" s="1"/>
  <c r="E98" s="1"/>
  <c r="C80"/>
  <c r="C81" s="1"/>
  <c r="E81" s="1"/>
  <c r="E82" s="1"/>
  <c r="D44" i="50"/>
  <c r="I115" i="9"/>
  <c r="D23" i="50" s="1"/>
  <c r="B34" i="60" s="1"/>
  <c r="I111" i="9"/>
  <c r="D38" i="50"/>
  <c r="B62" i="60" s="1"/>
  <c r="B19"/>
  <c r="D8" i="50"/>
  <c r="B22" i="60" s="1"/>
  <c r="M49" i="9"/>
  <c r="D36" i="50"/>
  <c r="D37" s="1"/>
  <c r="D15"/>
  <c r="D125" i="9"/>
  <c r="C78"/>
  <c r="C73" s="1"/>
  <c r="C93"/>
  <c r="C86" s="1"/>
  <c r="D53"/>
  <c r="D48" s="1"/>
  <c r="M52" s="1"/>
  <c r="C85"/>
  <c r="C64"/>
  <c r="C63" s="1"/>
  <c r="C67" s="1"/>
  <c r="C68" s="1"/>
  <c r="D54" s="1"/>
  <c r="D52"/>
  <c r="C72"/>
  <c r="D55"/>
  <c r="M53" s="1"/>
  <c r="D59"/>
  <c r="M55" s="1"/>
  <c r="M70" i="57" l="1"/>
  <c r="N70" s="1"/>
  <c r="D8" i="52"/>
  <c r="G14" i="62"/>
  <c r="B6" s="1"/>
  <c r="C82" i="57"/>
  <c r="C98"/>
  <c r="D59" s="1"/>
  <c r="D57" s="1"/>
  <c r="M55" s="1"/>
  <c r="N58" s="1"/>
  <c r="N60" s="1"/>
  <c r="C95" i="9"/>
  <c r="C79"/>
  <c r="B29" i="60"/>
  <c r="D16" i="50"/>
  <c r="B30" i="60" s="1"/>
  <c r="L63" i="9"/>
  <c r="M63" s="1"/>
  <c r="L64"/>
  <c r="M64" s="1"/>
  <c r="L67"/>
  <c r="M67" s="1"/>
  <c r="L66"/>
  <c r="M66" s="1"/>
  <c r="L65"/>
  <c r="M65" s="1"/>
  <c r="L68"/>
  <c r="M68" s="1"/>
  <c r="D17" i="50"/>
  <c r="D126" i="9"/>
  <c r="D9" i="52" s="1"/>
  <c r="C6" i="62" l="1"/>
  <c r="D6"/>
  <c r="P58" i="57"/>
  <c r="N59"/>
  <c r="N62"/>
  <c r="N61"/>
  <c r="M69" i="9"/>
  <c r="N69" s="1"/>
  <c r="C96"/>
  <c r="E96" s="1"/>
  <c r="E97" s="1"/>
  <c r="C80"/>
  <c r="E80" s="1"/>
  <c r="E81" s="1"/>
  <c r="C97" l="1"/>
  <c r="D58" s="1"/>
  <c r="D56" s="1"/>
  <c r="M54" s="1"/>
  <c r="N57" s="1"/>
  <c r="N59" s="1"/>
  <c r="N60" s="1"/>
  <c r="C81"/>
  <c r="N61" l="1"/>
  <c r="P57"/>
  <c r="N58"/>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<sst xmlns="http://schemas.openxmlformats.org/spreadsheetml/2006/main" count="7409" uniqueCount="2982">
  <si>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</si>
  <si>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</si>
  <si>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</si>
  <si>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</si>
  <si>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</si>
  <si>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</si>
  <si>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</si>
  <si>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</si>
  <si>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</si>
  <si>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</si>
  <si>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</si>
  <si>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</si>
  <si>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</si>
  <si>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</si>
  <si>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</si>
  <si>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</si>
  <si>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</si>
  <si>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</si>
  <si>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</si>
  <si>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</si>
  <si>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</si>
  <si>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</si>
  <si>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</si>
  <si>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</si>
  <si>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</si>
  <si>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</si>
  <si>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</si>
  <si>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</si>
  <si>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</si>
  <si>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</si>
  <si>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</si>
  <si>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</si>
  <si>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</si>
  <si>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</si>
  <si>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</si>
  <si>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</si>
  <si>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</si>
  <si>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</si>
  <si>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</si>
  <si>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</si>
  <si>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</si>
  <si>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</si>
  <si>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</si>
  <si>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</si>
  <si>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</si>
  <si>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</si>
  <si>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</si>
  <si>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</si>
  <si>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</si>
  <si>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</si>
  <si>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</si>
  <si>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</si>
  <si>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</si>
  <si>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</si>
  <si>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</si>
  <si>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</si>
  <si>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</si>
  <si>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</si>
  <si>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</si>
  <si>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</si>
  <si>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</si>
  <si>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</si>
  <si>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</si>
  <si>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</si>
  <si>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</si>
  <si>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</si>
  <si>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</si>
  <si>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</si>
  <si>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</si>
  <si>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</si>
  <si>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</si>
  <si>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</si>
  <si>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</si>
  <si>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</si>
  <si>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</si>
  <si>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</si>
  <si>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</si>
  <si>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</si>
  <si>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</si>
  <si>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</si>
  <si>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</si>
  <si>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</si>
  <si>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</si>
  <si>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</si>
  <si>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</si>
  <si>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</si>
  <si>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</si>
  <si>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</si>
  <si>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</si>
  <si>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</si>
  <si>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</si>
  <si>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</si>
  <si>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</si>
  <si>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</si>
  <si>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</si>
  <si>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</si>
  <si>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</si>
  <si>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</si>
  <si>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</si>
  <si>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</si>
  <si>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</si>
  <si>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</si>
  <si>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</si>
  <si>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</si>
  <si>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</si>
  <si>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</si>
  <si>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</si>
  <si>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</si>
  <si>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</si>
  <si>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</si>
  <si>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</si>
  <si>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</si>
  <si>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</si>
  <si>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</si>
  <si>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</si>
  <si>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</si>
  <si>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</si>
  <si>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</si>
  <si>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</si>
  <si>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</si>
  <si>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</si>
  <si>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</si>
  <si>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</si>
  <si>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</si>
  <si>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</si>
  <si>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</si>
  <si>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</si>
  <si>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</si>
  <si>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</si>
  <si>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</si>
  <si>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</si>
  <si>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</si>
  <si>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</si>
  <si>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</si>
  <si>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</si>
  <si>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</si>
  <si>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</si>
  <si>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</si>
  <si>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</si>
  <si>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</si>
  <si>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</si>
  <si>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</si>
  <si>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</si>
  <si>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</si>
  <si>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</si>
  <si>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</si>
  <si>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</si>
  <si>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</si>
  <si>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</si>
  <si>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</si>
  <si>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</si>
  <si>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</si>
  <si>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</si>
  <si>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</si>
  <si>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</si>
  <si>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</si>
  <si>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</si>
  <si>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</si>
  <si>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</si>
  <si>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</si>
  <si>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</si>
  <si>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</si>
  <si>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</si>
  <si>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</si>
  <si>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</si>
  <si>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</si>
  <si>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</si>
  <si>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</si>
  <si>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</si>
  <si>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</si>
  <si>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</si>
  <si>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</si>
  <si>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</si>
  <si>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</si>
  <si>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</si>
  <si>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</si>
  <si>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</si>
  <si>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</si>
  <si>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</si>
  <si>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</si>
  <si>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</si>
  <si>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</si>
  <si>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</si>
  <si>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</si>
  <si>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</si>
  <si>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</si>
  <si>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</si>
  <si>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</si>
  <si>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</si>
  <si>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</si>
  <si>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</si>
  <si>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</si>
  <si>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</si>
  <si>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</si>
  <si>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</si>
  <si>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</si>
  <si>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</si>
  <si>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</si>
  <si>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</si>
  <si>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</si>
  <si>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</si>
  <si>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</si>
  <si>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</si>
  <si>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</si>
  <si>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</si>
  <si>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</si>
  <si>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</si>
  <si>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</si>
  <si>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</si>
  <si>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</si>
  <si>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</si>
  <si>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</si>
  <si>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</si>
  <si>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</si>
  <si>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</si>
  <si>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</si>
  <si>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</si>
  <si>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</si>
  <si>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</si>
  <si>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</si>
  <si>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</si>
  <si>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</si>
  <si>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</si>
  <si>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</si>
  <si>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</si>
  <si>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</si>
  <si>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</si>
  <si>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</si>
  <si>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</si>
  <si>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</si>
  <si>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</si>
  <si>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</si>
  <si>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</si>
  <si>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</si>
  <si>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</si>
  <si>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</si>
  <si>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</si>
  <si>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</si>
  <si>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</si>
  <si>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</si>
  <si>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</si>
  <si>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</si>
  <si>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</si>
  <si>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</si>
  <si>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</si>
  <si>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</si>
  <si>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</si>
  <si>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</si>
  <si>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</si>
  <si>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</si>
  <si>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</si>
  <si>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</si>
  <si>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</si>
  <si>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</si>
  <si>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</si>
  <si>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</si>
  <si>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</si>
  <si>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</si>
  <si>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</si>
  <si>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</si>
  <si>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</si>
  <si>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</si>
  <si>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</si>
  <si>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</si>
  <si>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</si>
  <si>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</si>
  <si>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</si>
  <si>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</si>
  <si>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</si>
  <si>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</si>
  <si>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</si>
  <si>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</si>
  <si>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</si>
  <si>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</si>
  <si>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</si>
  <si>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</si>
  <si>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</si>
  <si>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</si>
  <si>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</si>
  <si>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</si>
  <si>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</si>
  <si>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</si>
  <si>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</si>
  <si>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</si>
  <si>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</si>
  <si>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</si>
  <si>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</si>
  <si>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</si>
  <si>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</si>
  <si>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</si>
  <si>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</si>
  <si>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</si>
  <si>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</si>
  <si>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</si>
  <si>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</si>
  <si>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</si>
  <si>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</si>
  <si>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</si>
  <si>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</si>
  <si>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</si>
  <si>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</si>
  <si>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</si>
  <si>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</si>
  <si>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</si>
  <si>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</si>
  <si>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</si>
  <si>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</si>
  <si>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</si>
  <si>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</si>
  <si>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</si>
  <si>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</si>
  <si>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</si>
  <si>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</si>
  <si>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</si>
  <si>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</si>
  <si>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</si>
  <si>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</si>
  <si>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</si>
  <si>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</si>
  <si>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</si>
  <si>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</si>
  <si>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</si>
  <si>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</si>
  <si>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</si>
  <si>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</si>
  <si>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</si>
  <si>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</si>
  <si>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</si>
  <si>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</si>
  <si>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</si>
  <si>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</si>
  <si>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</si>
  <si>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</si>
  <si>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</si>
  <si>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</si>
  <si>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</si>
  <si>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</si>
  <si>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</si>
  <si>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</si>
  <si>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</si>
  <si>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</si>
  <si>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</si>
  <si>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</si>
  <si>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</si>
  <si>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</si>
  <si>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</si>
  <si>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</si>
  <si>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</si>
  <si>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</si>
  <si>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</si>
  <si>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</si>
  <si>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</si>
  <si>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</si>
  <si>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</si>
  <si>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</si>
  <si>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</si>
  <si>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</si>
  <si>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</si>
  <si>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</si>
  <si>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</si>
  <si>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</si>
  <si>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</si>
  <si>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</si>
  <si>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</si>
  <si>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</si>
  <si>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</si>
  <si>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</si>
  <si>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</si>
  <si>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</si>
  <si>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</si>
  <si>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</si>
  <si>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</si>
  <si>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</si>
  <si>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</si>
  <si>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</si>
  <si>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</si>
  <si>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</si>
  <si>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</si>
  <si>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</si>
  <si>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</si>
  <si>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</si>
  <si>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</si>
  <si>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</si>
  <si>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</si>
  <si>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</si>
  <si>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</si>
  <si>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</si>
  <si>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</si>
  <si>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</si>
  <si>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</si>
  <si>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</si>
  <si>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</si>
  <si>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</si>
  <si>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</si>
  <si>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</si>
  <si>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</si>
  <si>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</si>
  <si>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</si>
  <si>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</si>
  <si>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</si>
  <si>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</si>
  <si>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</si>
  <si>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</si>
  <si>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</si>
  <si>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</si>
  <si>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</si>
  <si>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</si>
  <si>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</si>
  <si>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</si>
  <si>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</si>
  <si>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</si>
  <si>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</si>
  <si>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</si>
  <si>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</si>
  <si>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</si>
  <si>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</si>
  <si>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</si>
  <si>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</si>
  <si>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</si>
  <si>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</si>
  <si>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</si>
  <si>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</si>
  <si>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</si>
  <si>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</si>
  <si>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</si>
  <si>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</si>
  <si>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</si>
  <si>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</si>
  <si>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</si>
  <si>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</si>
  <si>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</si>
  <si>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</si>
  <si>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</si>
  <si>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</si>
  <si>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</si>
  <si>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</si>
  <si>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</si>
  <si>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</si>
  <si>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</si>
  <si>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</si>
  <si>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</si>
  <si>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</si>
  <si>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</si>
  <si>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</si>
  <si>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</si>
  <si>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</si>
  <si>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</si>
  <si>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</si>
  <si>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</si>
  <si>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</si>
  <si>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</si>
  <si>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</si>
  <si>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</si>
  <si>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</si>
  <si>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</si>
  <si>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</si>
  <si>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</si>
  <si>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</si>
  <si>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</si>
  <si>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</si>
  <si>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</si>
  <si>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</si>
  <si>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</si>
  <si>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</si>
  <si>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</si>
  <si>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</si>
  <si>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</si>
  <si>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</si>
  <si>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</si>
  <si>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</si>
  <si>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</si>
  <si>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</si>
  <si>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</si>
  <si>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</si>
  <si>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</si>
  <si>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</si>
  <si>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</si>
  <si>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</si>
  <si>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</si>
  <si>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</si>
  <si>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</si>
  <si>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</si>
  <si>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</si>
  <si>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</si>
  <si>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</si>
  <si>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</si>
  <si>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</si>
  <si>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</si>
  <si>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</si>
  <si>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</si>
  <si>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</si>
  <si>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</si>
  <si>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</si>
  <si>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</si>
  <si>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</si>
  <si>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</si>
  <si>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</si>
  <si>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</si>
  <si>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</si>
  <si>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</si>
  <si>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</si>
  <si>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</si>
  <si>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</si>
  <si>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</si>
  <si>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</si>
  <si>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</si>
  <si>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</si>
  <si>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</si>
  <si>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</si>
  <si>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</si>
  <si>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</si>
  <si>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</si>
  <si>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</si>
  <si>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</si>
  <si>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</si>
  <si>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</si>
  <si>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</si>
  <si>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</si>
  <si>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</si>
  <si>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</si>
  <si>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</si>
  <si>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</si>
  <si>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</si>
  <si>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</si>
  <si>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</si>
  <si>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</si>
  <si>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</si>
  <si>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</si>
  <si>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</si>
  <si>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</si>
  <si>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</si>
  <si>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</si>
  <si>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</si>
  <si>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</si>
  <si>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</si>
  <si>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</si>
  <si>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</si>
  <si>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</si>
  <si>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</si>
  <si>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</si>
  <si>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</si>
  <si>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</si>
  <si>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</si>
  <si>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</si>
  <si>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</si>
  <si>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</si>
  <si>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</si>
  <si>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</si>
  <si>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</si>
  <si>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</si>
  <si>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</si>
  <si>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</si>
  <si>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</si>
  <si>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</si>
  <si>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</si>
  <si>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</si>
  <si>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</si>
  <si>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</si>
  <si>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</si>
  <si>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</si>
  <si>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</si>
  <si>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</si>
  <si>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</si>
  <si>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</si>
  <si>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</si>
  <si>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</si>
  <si>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</si>
  <si>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</si>
  <si>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</si>
  <si>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</si>
  <si>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</si>
  <si>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</si>
  <si>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</si>
  <si>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</si>
  <si>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</si>
  <si>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</si>
  <si>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</si>
  <si>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</si>
  <si>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</si>
  <si>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</si>
  <si>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</si>
  <si>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</si>
  <si>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</si>
  <si>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</si>
  <si>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</si>
  <si>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</si>
  <si>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</si>
  <si>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</si>
  <si>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</si>
  <si>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</si>
  <si>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</si>
  <si>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</si>
  <si>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</si>
  <si>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</si>
  <si>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</si>
  <si>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</si>
  <si>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</si>
  <si>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</si>
  <si>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</si>
  <si>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</si>
  <si>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</si>
  <si>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</si>
  <si>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</si>
  <si>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</si>
  <si>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</si>
  <si>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</si>
  <si>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</si>
  <si>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</si>
  <si>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</si>
  <si>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</si>
  <si>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</si>
  <si>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</si>
  <si>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</si>
  <si>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</si>
  <si>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</si>
  <si>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</si>
  <si>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</si>
  <si>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</si>
  <si>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</si>
  <si>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</si>
  <si>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</si>
  <si>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</si>
  <si>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</si>
  <si>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</si>
  <si>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</si>
  <si>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</si>
  <si>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</si>
  <si>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</si>
  <si>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</si>
  <si>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</si>
  <si>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</si>
  <si>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</si>
  <si>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</si>
  <si>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</si>
  <si>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</si>
  <si>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</si>
  <si>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</si>
  <si>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</si>
  <si>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</si>
  <si>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</si>
  <si>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</si>
  <si>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</si>
  <si>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</si>
  <si>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</si>
  <si>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</si>
  <si>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</si>
  <si>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</si>
  <si>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</si>
  <si>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</si>
  <si>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</si>
  <si>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</si>
  <si>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</si>
  <si>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</si>
  <si>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</si>
  <si>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</si>
  <si>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</si>
  <si>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</si>
  <si>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</si>
  <si>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</si>
  <si>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</si>
  <si>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</si>
  <si>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</si>
  <si>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</si>
  <si>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</si>
  <si>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</si>
  <si>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</si>
  <si>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</si>
  <si>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</si>
  <si>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</si>
  <si>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</si>
  <si>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</si>
  <si>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</si>
  <si>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</si>
  <si>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</si>
  <si>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</si>
  <si>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</si>
  <si>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</si>
  <si>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</si>
  <si>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</si>
  <si>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</si>
  <si>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</si>
  <si>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</si>
  <si>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</si>
  <si>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</si>
  <si>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</si>
  <si>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</si>
  <si>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</si>
  <si>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</si>
  <si>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</si>
  <si>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</si>
  <si>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</si>
  <si>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</si>
  <si>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</si>
  <si>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</si>
  <si>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</si>
  <si>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</si>
  <si>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</si>
  <si>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</si>
  <si>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</si>
  <si>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</si>
  <si>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</si>
  <si>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</si>
  <si>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</si>
  <si>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</si>
  <si>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</si>
  <si>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</si>
  <si>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</si>
  <si>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</si>
  <si>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</si>
  <si>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</si>
  <si>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</si>
  <si>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</si>
  <si>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</si>
  <si>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</si>
  <si>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</si>
  <si>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</si>
  <si>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</si>
  <si>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</si>
  <si>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</si>
  <si>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</si>
  <si>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</si>
  <si>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</si>
  <si>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</si>
  <si>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</si>
  <si>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</si>
  <si>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</si>
  <si>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</si>
  <si>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</si>
  <si>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</si>
  <si>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</si>
  <si>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</si>
  <si>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</si>
  <si>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</si>
  <si>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</si>
  <si>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</si>
  <si>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</si>
  <si>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</si>
  <si>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</si>
  <si>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</si>
  <si>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</si>
  <si>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</si>
  <si>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</si>
  <si>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</si>
  <si>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</si>
  <si>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</si>
  <si>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</si>
  <si>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</si>
  <si>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</si>
  <si>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</si>
  <si>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</si>
  <si>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</si>
  <si>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</si>
  <si>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</si>
  <si>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</si>
  <si>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</si>
  <si>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</si>
  <si>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</si>
  <si>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</si>
  <si>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</si>
  <si>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</si>
  <si>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</si>
  <si>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</si>
  <si>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</si>
  <si>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</si>
  <si>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</si>
  <si>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</si>
  <si>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</si>
  <si>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</si>
  <si>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</si>
  <si>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</si>
  <si>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</si>
  <si>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</si>
  <si>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</si>
  <si>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</si>
  <si>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</si>
  <si>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</si>
  <si>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</si>
  <si>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</si>
  <si>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</si>
  <si>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</si>
  <si>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</si>
  <si>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</si>
  <si>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</si>
  <si>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</si>
  <si>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</si>
  <si>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</si>
  <si>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</si>
  <si>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</si>
  <si>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</si>
  <si>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</si>
  <si>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</si>
  <si>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</si>
  <si>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</si>
  <si>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</si>
  <si>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</si>
  <si>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</si>
  <si>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</si>
  <si>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</si>
  <si>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</si>
  <si>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</si>
  <si>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</si>
  <si>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</si>
  <si>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</si>
  <si>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</si>
  <si>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</si>
  <si>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</si>
  <si>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</si>
  <si>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</si>
  <si>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</si>
  <si>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</si>
  <si>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</si>
  <si>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</si>
  <si>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</si>
  <si>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</si>
  <si>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</si>
  <si>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</si>
  <si>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</si>
  <si>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</si>
  <si>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</si>
  <si>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</si>
  <si>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</si>
  <si>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</si>
  <si>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</si>
  <si>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</si>
  <si>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</si>
  <si>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</si>
  <si>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</si>
  <si>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</si>
  <si>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</si>
  <si>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</si>
  <si>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</si>
  <si>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</si>
  <si>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</si>
  <si>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</si>
  <si>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</si>
  <si>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</si>
  <si>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</si>
  <si>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</si>
  <si>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</si>
  <si>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</si>
  <si>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</si>
  <si>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</si>
  <si>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</si>
  <si>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</si>
  <si>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</si>
  <si>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</si>
  <si>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</si>
  <si>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</si>
  <si>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</si>
  <si>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</si>
  <si>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</si>
  <si>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</si>
  <si>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</si>
  <si>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</si>
  <si>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</si>
  <si>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</si>
  <si>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</si>
  <si>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</si>
  <si>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</si>
  <si>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</si>
  <si>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</si>
  <si>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</si>
  <si>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</si>
  <si>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</si>
  <si>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</si>
  <si>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</si>
  <si>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</si>
  <si>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</si>
  <si>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</si>
  <si>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</si>
  <si>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</si>
  <si>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</si>
  <si>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</si>
  <si>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</si>
  <si>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</si>
  <si>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</si>
  <si>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</si>
  <si>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</si>
  <si>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</si>
  <si>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</si>
  <si>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</si>
  <si>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</si>
  <si>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</si>
  <si>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</si>
  <si>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</si>
  <si>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</si>
  <si>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</si>
  <si>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</si>
  <si>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</si>
  <si>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</si>
  <si>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</si>
  <si>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</si>
  <si>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</si>
  <si>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</si>
  <si>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</si>
  <si>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</si>
  <si>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</si>
  <si>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</si>
  <si>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</si>
  <si>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</si>
  <si>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</si>
  <si>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</si>
  <si>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</si>
  <si>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</si>
  <si>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</si>
  <si>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</si>
  <si>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</si>
  <si>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</si>
  <si>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</si>
  <si>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</si>
  <si>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</si>
  <si>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</si>
  <si>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</si>
  <si>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</si>
  <si>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</si>
  <si>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</si>
  <si>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</si>
  <si>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</si>
  <si>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</si>
  <si>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</si>
  <si>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</si>
  <si>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</si>
  <si>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</si>
  <si>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</si>
  <si>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</si>
  <si>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</si>
  <si>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</si>
  <si>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</si>
  <si>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</si>
  <si>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</si>
  <si>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</si>
  <si>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</si>
  <si>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</si>
  <si>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</si>
  <si>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</si>
  <si>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</si>
  <si>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</si>
  <si>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</si>
  <si>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</si>
  <si>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</si>
  <si>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</si>
  <si>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</si>
  <si>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</si>
  <si>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</si>
  <si>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</si>
  <si>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</si>
  <si>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</si>
  <si>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</si>
  <si>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</si>
  <si>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</si>
  <si>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</si>
  <si>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</si>
  <si>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</si>
  <si>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</si>
  <si>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</si>
  <si>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</si>
  <si>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</si>
  <si>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</si>
  <si>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</si>
  <si>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</si>
  <si>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</si>
  <si>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</si>
  <si>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</si>
  <si>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</si>
  <si>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</si>
  <si>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</si>
  <si>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</si>
  <si>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</si>
  <si>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</si>
  <si>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</si>
  <si>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</si>
  <si>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</si>
  <si>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</si>
  <si>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</si>
  <si>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</si>
  <si>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</si>
  <si>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</si>
  <si>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</si>
  <si>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</si>
  <si>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</si>
  <si>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</si>
  <si>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</si>
  <si>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</si>
  <si>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</si>
  <si>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</si>
  <si>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</si>
  <si>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</si>
  <si>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</si>
  <si>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</si>
  <si>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</si>
  <si>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</si>
  <si>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</si>
  <si>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</si>
  <si>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</si>
  <si>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</si>
  <si>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</si>
  <si>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</si>
  <si>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</si>
  <si>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</si>
  <si>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</si>
  <si>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</si>
  <si>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</si>
  <si>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</si>
  <si>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</si>
  <si>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</si>
  <si>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</si>
  <si>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</si>
  <si>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</si>
  <si>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</si>
  <si>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</si>
  <si>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</si>
  <si>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</si>
  <si>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</si>
  <si>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</si>
  <si>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</si>
  <si>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</si>
  <si>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</si>
  <si>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</si>
  <si>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</si>
  <si>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</si>
  <si>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</si>
  <si>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</si>
  <si>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</si>
  <si>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</si>
  <si>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</si>
  <si>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</si>
  <si>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</si>
  <si>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</si>
  <si>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</si>
  <si>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</si>
  <si>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</si>
  <si>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</si>
  <si>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</si>
  <si>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</si>
  <si>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</si>
  <si>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</si>
  <si>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</si>
  <si>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</si>
  <si>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</si>
  <si>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</si>
  <si>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</si>
  <si>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</si>
  <si>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</si>
  <si>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</si>
  <si>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</si>
  <si>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</si>
  <si>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</si>
  <si>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</si>
  <si>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</si>
  <si>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</si>
  <si>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</si>
  <si>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</si>
  <si>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</si>
  <si>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</si>
  <si>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</si>
  <si>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</si>
  <si>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</si>
  <si>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</si>
  <si>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</si>
  <si>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</si>
  <si>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</si>
  <si>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</si>
  <si>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</si>
  <si>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</si>
  <si>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</si>
  <si>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</si>
  <si>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</si>
  <si>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</si>
  <si>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</si>
  <si>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</si>
  <si>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</si>
  <si>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</si>
  <si>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</si>
  <si>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</si>
  <si>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</si>
  <si>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</si>
  <si>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</si>
  <si>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</si>
  <si>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</si>
  <si>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</si>
  <si>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</si>
  <si>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</si>
  <si>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</si>
  <si>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</si>
  <si>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</si>
  <si>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</si>
  <si>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</si>
  <si>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</si>
  <si>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</si>
  <si>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</si>
  <si>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</si>
  <si>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</si>
  <si>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</si>
  <si>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</si>
  <si>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</si>
  <si>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</si>
  <si>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</si>
  <si>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</si>
  <si>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</si>
  <si>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</si>
  <si>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</si>
  <si>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</si>
  <si>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</si>
  <si>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</si>
  <si>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</si>
  <si>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</si>
  <si>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</si>
  <si>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</si>
  <si>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</si>
  <si>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</si>
  <si>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</si>
  <si>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</si>
  <si>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</si>
  <si>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</si>
  <si>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</si>
  <si>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</si>
  <si>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</si>
  <si>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</si>
  <si>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</si>
  <si>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</si>
  <si>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</si>
  <si>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</si>
  <si>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</si>
  <si>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</si>
  <si>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</si>
  <si>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</si>
  <si>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</si>
  <si>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</si>
  <si>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</si>
  <si>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</si>
  <si>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</si>
  <si>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</si>
  <si>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</si>
  <si>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</si>
  <si>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</si>
  <si>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</si>
  <si>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</si>
  <si>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</si>
  <si>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</si>
  <si>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</si>
  <si>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</si>
  <si>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</si>
  <si>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</si>
  <si>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</si>
  <si>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</si>
  <si>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</si>
  <si>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</si>
  <si>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</si>
  <si>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</si>
  <si>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</si>
  <si>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</si>
  <si>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</si>
  <si>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</si>
  <si>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</si>
  <si>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</si>
  <si>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</si>
  <si>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</si>
  <si>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</si>
  <si>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</si>
  <si>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</si>
  <si>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</si>
  <si>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</si>
  <si>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</si>
  <si>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</si>
  <si>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</si>
  <si>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</si>
  <si>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</si>
  <si>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</si>
  <si>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</si>
  <si>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</si>
  <si>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</si>
  <si>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</si>
  <si>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</si>
  <si>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</si>
  <si>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</si>
  <si>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</si>
  <si>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</si>
  <si>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</si>
  <si>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</si>
  <si>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</si>
  <si>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</si>
  <si>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</si>
  <si>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</si>
  <si>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</si>
  <si>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</si>
  <si>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</si>
  <si>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</si>
  <si>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</si>
  <si>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</si>
  <si>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</si>
  <si>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</si>
  <si>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</si>
  <si>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</si>
  <si>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</si>
  <si>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</si>
  <si>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</si>
  <si>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</si>
  <si>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</si>
  <si>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</si>
  <si>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</si>
  <si>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</si>
  <si>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</si>
  <si>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</si>
  <si>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</si>
  <si>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</si>
  <si>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</si>
  <si>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</si>
  <si>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</si>
  <si>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</si>
  <si>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</si>
  <si>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</si>
  <si>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</si>
  <si>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</si>
  <si>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</si>
  <si>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</si>
  <si>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</si>
  <si>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</si>
  <si>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</si>
  <si>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</si>
  <si>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</si>
  <si>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</si>
  <si>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</si>
  <si>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</si>
  <si>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</si>
  <si>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</si>
  <si>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</si>
  <si>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</si>
  <si>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</si>
  <si>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</si>
  <si>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</si>
  <si>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</si>
  <si>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</si>
  <si>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</si>
  <si>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</si>
  <si>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</si>
  <si>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</si>
  <si>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</si>
  <si>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</si>
  <si>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</si>
  <si>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</si>
  <si>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</si>
  <si>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</si>
  <si>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</si>
  <si>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</si>
  <si>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</si>
  <si>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</si>
  <si>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</si>
  <si>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</si>
  <si>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</si>
  <si>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</si>
  <si>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</si>
  <si>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</si>
  <si>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</si>
  <si>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</si>
  <si>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</si>
  <si>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</si>
  <si>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</si>
  <si>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</si>
  <si>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</si>
  <si>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</si>
  <si>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</si>
  <si>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</si>
  <si>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</si>
  <si>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</si>
  <si>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</si>
  <si>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</si>
  <si>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</si>
  <si>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</si>
  <si>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</si>
  <si>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</si>
  <si>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</si>
  <si>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</si>
  <si>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</si>
  <si>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</si>
  <si>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</si>
  <si>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</si>
  <si>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</si>
  <si>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</si>
  <si>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</si>
  <si>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</si>
  <si>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</si>
  <si>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</si>
  <si>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</si>
  <si>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</si>
  <si>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</si>
  <si>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</si>
  <si>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</si>
  <si>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</si>
  <si>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</si>
  <si>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</si>
  <si>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</si>
  <si>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</si>
  <si>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</si>
  <si>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</si>
  <si>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</si>
  <si>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</si>
  <si>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</si>
  <si>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</si>
  <si>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</si>
  <si>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</si>
  <si>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</si>
  <si>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</si>
  <si>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</si>
  <si>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</si>
  <si>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</si>
  <si>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</si>
  <si>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</si>
  <si>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</si>
  <si>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</si>
  <si>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</si>
  <si>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</si>
  <si>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</si>
  <si>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</si>
  <si>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</si>
  <si>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</si>
  <si>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</si>
  <si>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</si>
  <si>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</si>
  <si>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</si>
  <si>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</si>
  <si>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</si>
  <si>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</si>
  <si>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</si>
  <si>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</si>
  <si>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</si>
  <si>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</si>
  <si>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</si>
  <si>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</si>
  <si>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</si>
  <si>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</si>
  <si>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</si>
  <si>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</si>
  <si>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</si>
  <si>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</si>
  <si>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</si>
  <si>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</si>
  <si>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</si>
  <si>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</si>
  <si>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</si>
  <si>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</si>
  <si>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</si>
  <si>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</si>
  <si>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</si>
  <si>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</si>
  <si>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</si>
  <si>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</si>
  <si>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</si>
  <si>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</si>
  <si>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</si>
  <si>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</si>
  <si>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</si>
  <si>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</si>
  <si>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</si>
  <si>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</si>
  <si>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</si>
  <si>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</si>
  <si>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</si>
  <si>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</si>
  <si>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</si>
  <si>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</si>
  <si>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</si>
  <si>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</si>
  <si>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</si>
  <si>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</si>
  <si>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</si>
  <si>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</si>
  <si>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</si>
  <si>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</si>
  <si>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</si>
  <si>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</si>
  <si>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</si>
  <si>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</si>
  <si>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</si>
  <si>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</si>
  <si>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</si>
  <si>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</si>
  <si>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</si>
  <si>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</si>
  <si>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</si>
  <si>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</si>
  <si>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</si>
  <si>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</si>
  <si>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</si>
  <si>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</si>
  <si>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</si>
  <si>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</si>
  <si>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</si>
  <si>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</si>
  <si>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</si>
  <si>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</si>
  <si>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</si>
  <si>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</si>
  <si>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</si>
  <si>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</si>
  <si>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</si>
  <si>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</si>
  <si>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</si>
  <si>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</si>
  <si>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</si>
  <si>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</si>
  <si>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</si>
  <si>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</si>
  <si>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</si>
  <si>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</si>
  <si>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</si>
  <si>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</si>
  <si>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</si>
  <si>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</si>
  <si>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</si>
  <si>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</si>
  <si>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</si>
  <si>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</si>
  <si>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</si>
  <si>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</si>
  <si>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</si>
  <si>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</si>
  <si>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</si>
  <si>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</si>
  <si>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</si>
  <si>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</si>
  <si>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</si>
  <si>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</si>
  <si>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</si>
  <si>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</si>
  <si>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</si>
  <si>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</si>
  <si>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</si>
  <si>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</si>
  <si>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</si>
  <si>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</si>
  <si>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</si>
  <si>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</si>
  <si>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</si>
  <si>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</si>
  <si>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</si>
  <si>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</si>
  <si>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</si>
  <si>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</si>
  <si>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</si>
  <si>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</si>
  <si>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</si>
  <si>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</si>
  <si>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</si>
  <si>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</si>
  <si>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</si>
  <si>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</si>
  <si>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</si>
  <si>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</si>
  <si>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</si>
  <si>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</si>
  <si>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</si>
  <si>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</si>
  <si>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</si>
  <si>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</si>
  <si>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</si>
  <si>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</si>
  <si>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</si>
  <si>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</si>
  <si>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</si>
  <si>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</si>
  <si>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</si>
  <si>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</si>
  <si>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</si>
  <si>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</si>
  <si>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</si>
  <si>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</si>
  <si>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</si>
  <si>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</si>
  <si>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</si>
  <si>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</si>
  <si>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</si>
  <si>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</si>
  <si>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</si>
  <si>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</si>
  <si>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</si>
  <si>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</si>
  <si>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</si>
  <si>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</si>
  <si>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</si>
  <si>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</si>
  <si>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</si>
  <si>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</si>
  <si>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</si>
  <si>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</si>
  <si>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</si>
  <si>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</si>
  <si>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</si>
  <si>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</si>
  <si>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</si>
  <si>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</si>
  <si>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</si>
  <si>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</si>
  <si>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</si>
  <si>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</si>
  <si>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</si>
  <si>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</si>
  <si>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</si>
  <si>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</si>
  <si>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</si>
  <si>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</si>
  <si>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</si>
  <si>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</si>
  <si>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</si>
  <si>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</si>
  <si>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</si>
  <si>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</si>
  <si>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</si>
  <si>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</si>
  <si>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</si>
  <si>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</si>
  <si>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</si>
  <si>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</si>
  <si>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</si>
  <si>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</si>
  <si>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</si>
  <si>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</si>
  <si>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</si>
  <si>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</si>
  <si>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</si>
  <si>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</si>
  <si>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</si>
  <si>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</si>
  <si>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</si>
  <si>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</si>
  <si>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</si>
  <si>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</si>
  <si>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</si>
  <si>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</si>
  <si>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</si>
  <si>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</si>
  <si>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</si>
  <si>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</si>
  <si>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</si>
  <si>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</si>
  <si>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</si>
  <si>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</si>
  <si>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</si>
  <si>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</si>
  <si>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</si>
  <si>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</si>
  <si>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</si>
  <si>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</si>
  <si>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</si>
  <si>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</si>
  <si>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</si>
  <si>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</si>
  <si>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</si>
  <si>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</si>
  <si>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</si>
  <si>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</si>
  <si>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</si>
  <si>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</si>
  <si>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</si>
  <si>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</si>
  <si>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</si>
  <si>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</si>
  <si>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</si>
  <si>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</si>
  <si>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</si>
  <si>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</si>
  <si>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</si>
  <si>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</si>
  <si>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</si>
  <si>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</si>
  <si>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</si>
  <si>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</si>
  <si>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</si>
  <si>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</si>
  <si>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</si>
  <si>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</si>
  <si>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</si>
  <si>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</si>
  <si>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</si>
  <si>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</si>
  <si>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</si>
  <si>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</si>
  <si>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</si>
  <si>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</si>
  <si>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</si>
  <si>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</si>
  <si>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</si>
  <si>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</si>
  <si>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</si>
  <si>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</si>
  <si>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</si>
  <si>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</si>
  <si>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</si>
  <si>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</si>
  <si>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</si>
  <si>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</si>
  <si>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</si>
  <si>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</si>
  <si>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</si>
  <si>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</si>
  <si>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</si>
  <si>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</si>
  <si>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</si>
  <si>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</si>
  <si>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</si>
  <si>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</si>
  <si>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</si>
  <si>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</si>
  <si>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</si>
  <si>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</si>
  <si>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</si>
  <si>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</si>
  <si>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</si>
  <si>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</si>
  <si>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</si>
  <si>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</si>
  <si>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</si>
  <si>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</si>
  <si>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</si>
  <si>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</si>
  <si>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</si>
  <si>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</si>
  <si>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</si>
  <si>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</si>
  <si>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</si>
  <si>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</si>
  <si>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</si>
  <si>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</si>
  <si>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</si>
  <si>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</si>
  <si>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</si>
  <si>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</si>
  <si>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</si>
  <si>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</si>
  <si>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</si>
  <si>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</si>
  <si>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</si>
  <si>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</si>
  <si>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</si>
  <si>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</si>
  <si>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</si>
  <si>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</si>
  <si>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</si>
  <si>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</si>
  <si>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</si>
  <si>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</si>
  <si>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</si>
  <si>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</si>
  <si>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</si>
  <si>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</si>
  <si>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</si>
  <si>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</si>
  <si>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</si>
  <si>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</si>
  <si>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</si>
  <si>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</si>
  <si>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</si>
  <si>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</si>
  <si>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</si>
  <si>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</si>
  <si>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</si>
  <si>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</si>
  <si>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</si>
  <si>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</si>
  <si>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</si>
  <si>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</si>
  <si>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</si>
  <si>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</si>
  <si>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</si>
  <si>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</si>
  <si>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</si>
  <si>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</si>
  <si>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</si>
  <si>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</si>
  <si>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</si>
  <si>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</si>
  <si>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</si>
  <si>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</si>
  <si>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</si>
  <si>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</si>
  <si>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</si>
  <si>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</si>
  <si>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</si>
  <si>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</si>
  <si>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</si>
  <si>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</si>
  <si>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</si>
  <si>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</si>
  <si>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</si>
  <si>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</si>
  <si>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</si>
  <si>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</si>
  <si>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</si>
  <si>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</si>
  <si>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</si>
  <si>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</si>
  <si>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</si>
  <si>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</si>
  <si>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</si>
  <si>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</si>
  <si>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</si>
  <si>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</si>
  <si>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</si>
  <si>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</si>
  <si>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</si>
  <si>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</si>
  <si>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</si>
  <si>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</si>
  <si>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</si>
  <si>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</si>
  <si>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</si>
  <si>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</si>
  <si>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</si>
  <si>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</si>
  <si>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</si>
  <si>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</si>
  <si>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</si>
  <si>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</si>
  <si>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</si>
  <si>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</si>
  <si>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</si>
  <si>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</si>
  <si>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</si>
  <si>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</si>
  <si>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</si>
  <si>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</si>
  <si>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</si>
  <si>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</si>
  <si>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</si>
  <si>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</si>
  <si>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</si>
  <si>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</si>
  <si>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</si>
  <si>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</si>
  <si>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</si>
  <si>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</si>
  <si>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</si>
  <si>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</si>
  <si>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</si>
  <si>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</si>
  <si>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</si>
  <si>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</si>
  <si>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</si>
  <si>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</si>
  <si>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</si>
  <si>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</si>
  <si>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</si>
  <si>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</si>
  <si>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</si>
  <si>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</si>
  <si>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</si>
  <si>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</si>
  <si>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</si>
  <si>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</si>
  <si>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</si>
  <si>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</si>
  <si>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</si>
  <si>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</si>
  <si>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</si>
  <si>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</si>
  <si>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</si>
  <si>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</si>
  <si>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</si>
  <si>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</si>
  <si>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</si>
  <si>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</si>
  <si>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</si>
  <si>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</si>
  <si>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</si>
  <si>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</si>
  <si>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</si>
  <si>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</si>
  <si>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</si>
  <si>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</si>
  <si>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</si>
  <si>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</si>
  <si>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</si>
  <si>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</si>
  <si>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</si>
  <si>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</si>
  <si>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</si>
  <si>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</si>
  <si>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</si>
  <si>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</si>
  <si>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</si>
  <si>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</si>
  <si>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</si>
  <si>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</si>
  <si>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</si>
  <si>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</si>
  <si>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</si>
  <si>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</si>
  <si>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</si>
  <si>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</si>
  <si>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</si>
  <si>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</si>
  <si>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</si>
  <si>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</si>
  <si>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</si>
  <si>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</si>
  <si>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</si>
  <si>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</si>
  <si>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</si>
  <si>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</si>
  <si>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</si>
  <si>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</si>
  <si>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</si>
  <si>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</si>
  <si>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</si>
  <si>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</si>
  <si>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</si>
  <si>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</si>
  <si>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</si>
  <si>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</si>
  <si>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</si>
  <si>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</si>
  <si>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</si>
  <si>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</si>
  <si>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</si>
  <si>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</si>
  <si>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</si>
  <si>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</si>
  <si>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</si>
  <si>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</si>
  <si>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</si>
  <si>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</si>
  <si>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</si>
  <si>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</si>
  <si>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</si>
  <si>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</si>
  <si>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</si>
  <si>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</si>
  <si>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</si>
  <si>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</si>
  <si>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</si>
  <si>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</si>
  <si>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</si>
  <si>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</si>
  <si>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</si>
  <si>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</si>
  <si>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</si>
  <si>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</si>
  <si>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</si>
  <si>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</si>
  <si>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</si>
  <si>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</si>
  <si>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</si>
  <si>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</si>
  <si>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</si>
  <si>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</si>
  <si>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</si>
  <si>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</si>
  <si>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</si>
  <si>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</si>
  <si>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</si>
  <si>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</si>
  <si>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</si>
  <si>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</si>
  <si>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</si>
  <si>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</si>
  <si>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</si>
  <si>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</si>
  <si>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</si>
  <si>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</si>
  <si>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</si>
  <si>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</si>
  <si>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</si>
  <si>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</si>
  <si>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</si>
  <si>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</si>
  <si>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</si>
  <si>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</si>
  <si>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</si>
  <si>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</si>
  <si>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</si>
  <si>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</si>
  <si>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</si>
  <si>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</si>
  <si>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</si>
  <si>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</si>
  <si>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</si>
  <si>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</si>
  <si>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</si>
  <si>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</si>
  <si>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</si>
  <si>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</si>
  <si>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</si>
  <si>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</si>
  <si>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</si>
  <si>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</si>
  <si>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</si>
  <si>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</si>
  <si>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</si>
  <si>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</si>
  <si>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</si>
  <si>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</si>
  <si>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</si>
  <si>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</si>
  <si>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</si>
  <si>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</si>
  <si>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</si>
  <si>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</si>
  <si>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</si>
  <si>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</si>
  <si>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</si>
  <si>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</si>
  <si>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</si>
  <si>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</si>
  <si>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</si>
  <si>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</si>
  <si>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</si>
  <si>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</si>
  <si>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</si>
  <si>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</si>
  <si>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</si>
  <si>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</si>
  <si>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</si>
  <si>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</si>
  <si>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</si>
  <si>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</si>
  <si>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</si>
  <si>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</si>
  <si>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</si>
  <si>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</si>
  <si>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</si>
  <si>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</si>
  <si>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</si>
  <si>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</si>
  <si>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</si>
  <si>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</si>
  <si>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</si>
  <si>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</si>
  <si>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</si>
  <si>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</si>
  <si>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</si>
  <si>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</si>
  <si>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</si>
  <si>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</si>
  <si>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</si>
  <si>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</si>
  <si>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</si>
  <si>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</si>
  <si>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</si>
  <si>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</si>
  <si>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</si>
  <si>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</si>
  <si>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</si>
  <si>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</si>
  <si>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</si>
  <si>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</si>
  <si>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</si>
  <si>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</si>
  <si>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</si>
  <si>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</si>
  <si>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</si>
  <si>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</si>
  <si>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</si>
  <si>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</si>
  <si>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</si>
  <si>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</si>
  <si>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</si>
  <si>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</si>
  <si>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</si>
  <si>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</si>
  <si>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</si>
  <si>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</si>
  <si>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</si>
  <si>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</si>
  <si>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</si>
  <si>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</si>
  <si>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</si>
  <si>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</si>
  <si>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</si>
  <si>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</si>
  <si>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</si>
  <si>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</si>
  <si>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</si>
  <si>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</si>
  <si>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</si>
  <si>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</si>
  <si>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</si>
  <si>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</si>
  <si>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</si>
  <si>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</si>
  <si>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</si>
  <si>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</si>
  <si>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</si>
  <si>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</si>
  <si>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</si>
  <si>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</si>
  <si>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</si>
  <si>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</si>
  <si>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</si>
  <si>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</si>
  <si>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</si>
  <si>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</si>
  <si>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</si>
  <si>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</si>
  <si>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</si>
  <si>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</si>
  <si>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</si>
  <si>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</si>
  <si>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</si>
  <si>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</si>
  <si>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</si>
  <si>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</si>
  <si>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</si>
  <si>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</si>
  <si>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</si>
  <si>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</si>
  <si>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</si>
  <si>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</si>
  <si>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</si>
  <si>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</si>
  <si>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</si>
  <si>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</si>
  <si>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</si>
  <si>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</si>
  <si>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</si>
  <si>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</si>
  <si>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</si>
  <si>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</si>
  <si>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</si>
  <si>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</si>
  <si>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</si>
  <si>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</si>
  <si>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</si>
  <si>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</si>
  <si>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</si>
  <si>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</si>
  <si>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</si>
  <si>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</si>
  <si>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</si>
  <si>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</si>
  <si>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</si>
  <si>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</si>
  <si>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</si>
  <si>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</si>
  <si>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</si>
  <si>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</si>
  <si>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</si>
  <si>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</si>
  <si>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</si>
  <si>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</si>
  <si>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</si>
  <si>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</si>
  <si>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</si>
  <si>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</si>
  <si>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</si>
  <si>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</si>
  <si>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</si>
  <si>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</si>
  <si>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</si>
  <si>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</si>
  <si>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</si>
  <si>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</si>
  <si>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</si>
  <si>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</si>
  <si>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</si>
  <si>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</si>
  <si>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</si>
  <si>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</si>
  <si>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</si>
  <si>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</si>
  <si>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</si>
  <si>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</si>
  <si>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</si>
  <si>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</si>
  <si>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</si>
  <si>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</si>
  <si>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</si>
  <si>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</si>
  <si>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</si>
  <si>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</si>
  <si>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</si>
  <si>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</si>
  <si>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</si>
  <si>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</si>
  <si>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</si>
  <si>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</si>
  <si>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</si>
  <si>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</si>
  <si>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</si>
  <si>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</si>
  <si>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</si>
  <si>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</si>
  <si>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</si>
  <si>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</si>
  <si>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</si>
  <si>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</si>
  <si>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</si>
  <si>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</si>
  <si>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</si>
  <si>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</si>
  <si>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</si>
  <si>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</si>
  <si>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</si>
  <si>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</si>
  <si>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</si>
  <si>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</si>
  <si>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</si>
  <si>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</si>
  <si>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</si>
  <si>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</si>
  <si>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</si>
  <si>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</si>
  <si>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</si>
  <si>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</si>
  <si>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</si>
  <si>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</si>
  <si>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</si>
  <si>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</si>
  <si>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</si>
  <si>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</si>
  <si>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</si>
  <si>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</si>
  <si>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</si>
  <si>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</si>
  <si>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</si>
  <si>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</si>
  <si>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</si>
  <si>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</si>
  <si>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</si>
  <si>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</si>
  <si>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</si>
  <si>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</si>
  <si>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</si>
  <si>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</si>
  <si>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</si>
  <si>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</si>
  <si>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</si>
  <si>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</si>
  <si>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</si>
  <si>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</si>
  <si>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</si>
  <si>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</si>
  <si>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</si>
  <si>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</si>
  <si>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</si>
  <si>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</si>
  <si>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</si>
  <si>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</si>
  <si>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</si>
  <si>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</si>
  <si>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</si>
  <si>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</si>
  <si>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</si>
  <si>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</si>
  <si>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</si>
  <si>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</si>
  <si>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</si>
  <si>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</si>
  <si>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</si>
  <si>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</si>
  <si>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</si>
  <si>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</si>
  <si>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</si>
  <si>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</si>
  <si>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</si>
  <si>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</si>
  <si>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</si>
  <si>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</si>
  <si>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</si>
  <si>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</si>
  <si>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</si>
  <si>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</si>
  <si>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</si>
  <si>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</si>
  <si>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</si>
  <si>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</si>
  <si>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</si>
  <si>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</si>
  <si>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</si>
  <si>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</si>
  <si>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</si>
  <si>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</si>
  <si>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</si>
  <si>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</si>
  <si>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</si>
  <si>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</si>
  <si>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</si>
  <si>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</si>
  <si>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</si>
  <si>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</si>
  <si>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</si>
  <si>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</si>
  <si>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</si>
  <si>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</si>
  <si>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</si>
  <si>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</si>
  <si>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</si>
  <si>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</si>
  <si>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</si>
  <si>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</si>
  <si>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</si>
  <si>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</si>
  <si>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</si>
  <si>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</si>
  <si>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</si>
  <si>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</si>
  <si>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</si>
  <si>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</si>
  <si>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</si>
  <si>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</si>
  <si>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</si>
  <si>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</si>
  <si>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</si>
  <si>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</si>
  <si>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</si>
  <si>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</si>
  <si>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</si>
  <si>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</si>
  <si>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</si>
  <si>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</si>
  <si>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</si>
  <si>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</si>
  <si>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</si>
  <si>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</si>
  <si>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</si>
  <si>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</si>
  <si>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</si>
  <si>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</si>
  <si>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</si>
  <si>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</si>
  <si>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</si>
  <si>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</si>
  <si>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</si>
  <si>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</si>
  <si>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</si>
  <si>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</si>
  <si>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</si>
  <si>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</si>
  <si>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</si>
  <si>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</si>
  <si>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</si>
  <si>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</si>
  <si>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</si>
  <si>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</si>
  <si>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</si>
  <si>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</si>
  <si>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</si>
  <si>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</si>
  <si>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</si>
  <si>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</si>
  <si>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</si>
  <si>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</si>
  <si>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</si>
  <si>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</si>
  <si>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</si>
  <si>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</si>
  <si>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</si>
  <si>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</si>
  <si>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</si>
  <si>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</si>
  <si>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</si>
  <si>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</si>
  <si>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</si>
  <si>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</si>
  <si>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</si>
  <si>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</si>
  <si>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</si>
  <si>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</si>
  <si>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</si>
  <si>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</si>
  <si>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</si>
  <si>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</si>
  <si>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</si>
  <si>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</si>
  <si>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</si>
  <si>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</si>
  <si>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</si>
  <si>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</si>
  <si>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</si>
  <si>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</si>
  <si>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</si>
  <si>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</si>
  <si>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</si>
  <si>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</si>
  <si>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</si>
  <si>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</si>
  <si>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</si>
  <si>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</si>
  <si>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</si>
  <si>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</si>
  <si>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</si>
  <si>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</si>
  <si>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</si>
  <si>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</si>
  <si>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</si>
  <si>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</si>
  <si>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</si>
  <si>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</si>
  <si>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</si>
  <si>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</si>
  <si>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</si>
  <si>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</si>
  <si>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</si>
  <si>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</si>
  <si>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</si>
  <si>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</si>
  <si>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</si>
  <si>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</si>
  <si>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</si>
  <si>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</si>
  <si>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</si>
  <si>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</si>
  <si>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</si>
  <si>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</si>
  <si>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</si>
  <si>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</si>
  <si>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</si>
  <si>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</si>
  <si>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</si>
  <si>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</si>
  <si>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</si>
  <si>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</si>
  <si>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</si>
  <si>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</si>
  <si>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</si>
  <si>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</si>
  <si>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</si>
  <si>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</si>
  <si>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</si>
  <si>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</si>
  <si>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</si>
  <si>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</si>
  <si>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</si>
  <si>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</si>
  <si>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</si>
  <si>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</si>
  <si>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</si>
  <si>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</si>
  <si>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</si>
  <si>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</si>
  <si>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</si>
  <si>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</si>
  <si>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</si>
  <si>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</si>
  <si>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</si>
  <si>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</si>
  <si>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</si>
  <si>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</si>
  <si>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</si>
  <si>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</si>
  <si>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</si>
  <si>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</si>
  <si>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</si>
  <si>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</si>
  <si>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</si>
  <si>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</si>
  <si>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</si>
  <si>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</si>
  <si>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</si>
  <si>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</si>
  <si>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</si>
  <si>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</si>
  <si>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</si>
  <si>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</si>
  <si>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</si>
  <si>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</si>
  <si>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</si>
  <si>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</si>
  <si>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</si>
  <si>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</si>
  <si>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</si>
  <si>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</si>
  <si>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</si>
  <si>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</si>
  <si>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</si>
  <si>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</si>
  <si>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</si>
  <si>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</si>
  <si>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</si>
  <si>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</si>
  <si>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</si>
  <si>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</si>
  <si>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</si>
  <si>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</si>
  <si>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</si>
  <si>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</si>
  <si>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</si>
  <si>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</si>
  <si>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</si>
  <si>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</si>
  <si>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</si>
  <si>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</si>
  <si>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</si>
  <si>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</si>
  <si>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</si>
  <si>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</si>
  <si>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</si>
  <si>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</si>
  <si>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</si>
  <si>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</si>
  <si>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</si>
  <si>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</si>
  <si>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</si>
  <si>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</si>
  <si>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</si>
  <si>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</si>
  <si>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</si>
  <si>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</si>
  <si>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</si>
  <si>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</si>
  <si>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</si>
  <si>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</si>
  <si>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</si>
  <si>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</si>
  <si>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</si>
  <si>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</si>
  <si>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</si>
  <si>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</si>
  <si>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</si>
  <si>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</si>
  <si>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</si>
  <si>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</si>
  <si>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</si>
  <si>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</si>
  <si>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</si>
  <si>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</si>
  <si>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</si>
  <si>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</si>
  <si>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</si>
  <si>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</si>
  <si>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</si>
  <si>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</si>
  <si>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</si>
  <si>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</si>
  <si>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</si>
  <si>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</si>
  <si>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</si>
  <si>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</si>
  <si>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</si>
  <si>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</si>
  <si>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</si>
  <si>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</si>
  <si>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</si>
  <si>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</si>
  <si>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</si>
  <si>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</si>
  <si>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</si>
  <si>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</si>
  <si>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</si>
  <si>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</si>
  <si>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</si>
  <si>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</si>
  <si>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</si>
  <si>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</si>
  <si>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</si>
  <si>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</si>
  <si>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</si>
  <si>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</si>
  <si>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</si>
  <si>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</si>
  <si>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</si>
  <si>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</si>
  <si>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</si>
  <si>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</si>
  <si>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</si>
  <si>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</si>
  <si>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</si>
  <si>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</si>
  <si>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</si>
  <si>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</si>
  <si>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</si>
  <si>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</si>
  <si>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</si>
  <si>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</si>
  <si>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</si>
  <si>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</si>
  <si>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</si>
  <si>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</si>
  <si>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</si>
  <si>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</si>
  <si>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</si>
  <si>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</si>
  <si>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</si>
  <si>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</si>
  <si>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</si>
  <si>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</si>
  <si>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</si>
  <si>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</si>
  <si>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</si>
  <si>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</si>
  <si>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</si>
  <si>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</si>
  <si>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</si>
  <si>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</si>
  <si>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</si>
  <si>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</si>
  <si>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</si>
  <si>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</si>
  <si>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</si>
  <si>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</si>
  <si>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</si>
  <si>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</si>
  <si>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</si>
  <si>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</si>
  <si>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</si>
  <si>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</si>
  <si>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</si>
  <si>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</si>
  <si>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</si>
  <si>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</si>
  <si>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</si>
  <si>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</si>
  <si>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</si>
  <si>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</si>
  <si>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</si>
  <si>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</si>
  <si>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</si>
  <si>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</si>
  <si>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</si>
  <si>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</si>
  <si>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</si>
  <si>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</si>
  <si>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</si>
  <si>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</si>
  <si>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</si>
  <si>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</si>
  <si>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</si>
  <si>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</si>
  <si>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</si>
  <si>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</si>
  <si>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</si>
  <si>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</si>
  <si>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</si>
  <si>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</si>
  <si>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</si>
  <si>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</si>
  <si>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</si>
  <si>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</si>
  <si>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</si>
  <si>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</si>
  <si>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</si>
  <si>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</si>
  <si>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</si>
  <si>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</si>
  <si>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</si>
  <si>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</si>
  <si>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</si>
  <si>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</si>
  <si>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</si>
  <si>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</si>
  <si>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</si>
  <si>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</si>
  <si>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</si>
  <si>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</si>
  <si>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</si>
  <si>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</si>
  <si>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</si>
  <si>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</si>
  <si>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</si>
  <si>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</si>
  <si>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</si>
  <si>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</si>
  <si>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</si>
  <si>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</si>
  <si>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</si>
  <si>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</si>
  <si>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</si>
  <si>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</si>
  <si>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</si>
  <si>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</si>
  <si>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</si>
  <si>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</si>
  <si>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</si>
  <si>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</si>
  <si>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</si>
  <si>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</si>
  <si>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</si>
  <si>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</si>
  <si>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</si>
  <si>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</si>
  <si>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</si>
  <si>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</si>
  <si>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</si>
  <si>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</si>
  <si>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</si>
  <si>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</si>
  <si>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</si>
  <si>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</si>
  <si>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</si>
  <si>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</si>
  <si>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</si>
  <si>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</si>
  <si>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</si>
  <si>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</si>
  <si>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</si>
  <si>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</si>
  <si>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</si>
  <si>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</si>
  <si>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</si>
  <si>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</si>
  <si>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</si>
  <si>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</si>
  <si>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</si>
  <si>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</si>
  <si>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</si>
  <si>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</si>
  <si>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</si>
  <si>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</si>
  <si>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</si>
  <si>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</si>
  <si>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</si>
  <si>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</si>
  <si>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</si>
  <si>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</si>
  <si>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</si>
  <si>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</si>
  <si>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</si>
  <si>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</si>
  <si>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</si>
  <si>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</si>
  <si>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</si>
  <si>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</si>
  <si>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</si>
  <si>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</si>
  <si>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</si>
  <si>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</si>
  <si>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</si>
  <si>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</si>
  <si>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</si>
  <si>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</si>
  <si>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</si>
  <si>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</si>
  <si>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</si>
  <si>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</si>
  <si>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</si>
  <si>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</si>
  <si>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</si>
  <si>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</si>
  <si>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</si>
  <si>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</si>
  <si>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</si>
  <si>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</si>
  <si>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</si>
  <si>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</si>
  <si>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</si>
  <si>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</si>
  <si>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</si>
  <si>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</si>
  <si>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</si>
  <si>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</si>
  <si>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</si>
  <si>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</si>
  <si>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</si>
  <si>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</si>
  <si>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</si>
  <si>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</si>
  <si>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</si>
  <si>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</si>
  <si>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</si>
  <si>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</si>
  <si>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</si>
  <si>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</si>
  <si>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</si>
  <si>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</si>
  <si>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</si>
  <si>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</si>
  <si>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</si>
  <si>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</si>
  <si>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</si>
  <si>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</si>
  <si>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</si>
  <si>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</si>
  <si>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</si>
  <si>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</si>
  <si>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</si>
  <si>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</si>
  <si>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</si>
  <si>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</si>
  <si>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</si>
  <si>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</si>
  <si>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</si>
  <si>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</si>
  <si>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</si>
  <si>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</si>
  <si>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</si>
  <si>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</si>
  <si>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</si>
  <si>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</si>
  <si>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</si>
  <si>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</si>
  <si>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</si>
  <si>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</si>
  <si>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</si>
  <si>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</si>
  <si>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</si>
  <si>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</si>
  <si>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</si>
  <si>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</si>
  <si>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</si>
  <si>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</si>
  <si>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</si>
  <si>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</si>
  <si>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</si>
  <si>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</si>
  <si>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</si>
  <si>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</si>
  <si>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</si>
  <si>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</si>
  <si>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</si>
  <si>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</si>
  <si>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</si>
  <si>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</si>
  <si>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</si>
  <si>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</si>
  <si>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</si>
  <si>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</si>
  <si>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</si>
  <si>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</si>
  <si>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</si>
  <si>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</si>
  <si>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</si>
  <si>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</si>
  <si>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</si>
  <si>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</si>
  <si>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</si>
  <si>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</si>
  <si>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</si>
  <si>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</si>
  <si>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</si>
  <si>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</si>
  <si>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</si>
  <si>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</si>
  <si>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</si>
  <si>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</si>
  <si>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</si>
  <si>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</si>
  <si>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</si>
  <si>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</si>
  <si>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</si>
  <si>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</si>
  <si>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</si>
  <si>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</si>
  <si>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</si>
  <si>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</si>
  <si>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</si>
  <si>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</si>
  <si>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</si>
  <si>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</si>
  <si>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</si>
  <si>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</si>
  <si>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</si>
  <si>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</si>
  <si>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</si>
  <si>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</si>
  <si>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</si>
  <si>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</si>
  <si>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</si>
  <si>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</si>
  <si>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</si>
  <si>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</si>
  <si>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</si>
  <si>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</si>
  <si>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</si>
  <si>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</si>
  <si>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</si>
  <si>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</si>
  <si>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</si>
  <si>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</si>
  <si>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</si>
  <si>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</si>
  <si>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</si>
  <si>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</si>
  <si>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</si>
  <si>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</si>
  <si>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</si>
  <si>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</si>
  <si>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</si>
  <si>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</si>
  <si>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</si>
  <si>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</si>
  <si>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</si>
  <si>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</si>
  <si>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</si>
  <si>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</si>
  <si>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</si>
  <si>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</si>
  <si>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</si>
  <si>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</si>
  <si>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</si>
  <si>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</si>
  <si>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</si>
  <si>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</si>
  <si>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</si>
  <si>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</si>
  <si>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</si>
  <si>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</si>
  <si>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</si>
  <si>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</si>
  <si>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</si>
  <si>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</si>
  <si>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</si>
  <si>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</si>
  <si>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</si>
  <si>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</si>
  <si>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</si>
  <si>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</si>
  <si>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</si>
  <si>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</si>
  <si>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</si>
  <si>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</si>
  <si>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</si>
  <si>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</si>
  <si>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</si>
  <si>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</si>
  <si>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</si>
  <si>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</si>
  <si>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</si>
  <si>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</si>
  <si>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</si>
  <si>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</si>
  <si>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</si>
  <si>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</si>
  <si>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</si>
  <si>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</si>
  <si>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</si>
  <si>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</si>
  <si>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</si>
  <si>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</si>
  <si>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</si>
  <si>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</si>
  <si>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</si>
  <si>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</si>
  <si>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</si>
  <si>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</si>
  <si>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</si>
  <si>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</si>
  <si>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</si>
  <si>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</si>
  <si>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</si>
  <si>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</si>
  <si>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</si>
  <si>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</si>
  <si>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</si>
  <si>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</si>
  <si>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</si>
  <si>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</si>
  <si>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清晰一致</t>
    <phoneticPr fontId="4" type="noConversion"/>
  </si>
  <si>
    <t>无变化</t>
    <phoneticPr fontId="4" type="noConversion"/>
  </si>
  <si>
    <t>正常</t>
    <phoneticPr fontId="4" type="noConversion"/>
  </si>
  <si>
    <t>复印件</t>
  </si>
  <si>
    <t>未核对原件</t>
  </si>
  <si>
    <t>综合（写字楼）</t>
    <phoneticPr fontId="4" type="noConversion"/>
  </si>
  <si>
    <t>有</t>
  </si>
  <si>
    <t>元</t>
  </si>
  <si>
    <t>楼面单价</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</si>
  <si>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</si>
  <si>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</si>
  <si>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</si>
  <si>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</si>
  <si>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</si>
  <si>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</si>
  <si>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</si>
  <si>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</si>
  <si>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</si>
  <si>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</si>
  <si>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</si>
  <si>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</si>
  <si>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</si>
  <si>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</si>
  <si>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</si>
  <si>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</si>
  <si>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</si>
  <si>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</si>
  <si>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</si>
  <si>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</si>
  <si>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</si>
  <si>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</si>
  <si>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</si>
  <si>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</si>
  <si>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</si>
  <si>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</si>
  <si>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</si>
  <si>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</si>
  <si>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</si>
  <si>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</si>
  <si>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</si>
  <si>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</si>
  <si>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</si>
  <si>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</si>
  <si>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</si>
  <si>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</si>
  <si>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</si>
  <si>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</si>
  <si>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</si>
  <si>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</si>
  <si>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</si>
  <si>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</si>
  <si>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</si>
  <si>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</si>
  <si>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</si>
  <si>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</si>
  <si>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</si>
  <si>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</si>
  <si>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</si>
  <si>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</si>
  <si>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</si>
  <si>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</si>
  <si>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</si>
  <si>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</si>
  <si>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</si>
  <si>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</si>
  <si>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</si>
  <si>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</si>
  <si>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</si>
  <si>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</si>
  <si>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按租金收入计税</t>
  </si>
  <si>
    <t>典型户型修正</t>
  </si>
  <si>
    <t>连灏</t>
    <phoneticPr fontId="7" type="noConversion"/>
  </si>
  <si>
    <t>住宅</t>
  </si>
  <si>
    <t>京房权证海私移字第0027263号</t>
    <phoneticPr fontId="4" type="noConversion"/>
  </si>
  <si>
    <t>海淀区万柳新纪元家园2号楼1门1002号住宅用房</t>
    <phoneticPr fontId="4" type="noConversion"/>
  </si>
  <si>
    <t>私产</t>
    <phoneticPr fontId="4" type="noConversion"/>
  </si>
  <si>
    <t>商品房</t>
    <phoneticPr fontId="4" type="noConversion"/>
  </si>
  <si>
    <t>住宅</t>
    <phoneticPr fontId="4" type="noConversion"/>
  </si>
  <si>
    <t>无租约</t>
  </si>
  <si>
    <t>否</t>
  </si>
  <si>
    <t>估价对象周边居住用地比例高、居住小区规模大和社区发展完善程度较好，有万柳华府、万柳光大等多个住宅小区，综合评价居住社区成熟度较好</t>
    <phoneticPr fontId="4" type="noConversion"/>
  </si>
  <si>
    <t>估价对象周边道路状况较好、公共交通通达情况较好、有534、539、611、614路等多路公交车及地铁10号线经过、停车便捷程度一般，综合评价交通便捷度较好</t>
    <phoneticPr fontId="4" type="noConversion"/>
  </si>
  <si>
    <t>估价对象所在区域公共配套设施齐备情况齐全</t>
    <phoneticPr fontId="4" type="noConversion"/>
  </si>
  <si>
    <t>估价对象所在区域基础设施水平高</t>
    <phoneticPr fontId="4" type="noConversion"/>
  </si>
  <si>
    <t>区域自然环境：巴沟山水园；人文环境：北京人民大学；综合评价环境状况较好</t>
    <phoneticPr fontId="4" type="noConversion"/>
  </si>
  <si>
    <t>城市快速路-北三环西路</t>
    <phoneticPr fontId="4" type="noConversion"/>
  </si>
  <si>
    <t>估价对象1（结果表）</t>
  </si>
  <si>
    <t>涧桥泊屋</t>
    <phoneticPr fontId="4" type="noConversion"/>
  </si>
  <si>
    <t>海淀区万柳新纪元家园</t>
    <phoneticPr fontId="4" type="noConversion"/>
  </si>
  <si>
    <t>正常</t>
  </si>
  <si>
    <t>50-60（含）</t>
  </si>
  <si>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</si>
  <si>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</si>
  <si>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t>高区</t>
    <phoneticPr fontId="20" type="noConversion"/>
  </si>
  <si>
    <t>中区</t>
    <phoneticPr fontId="20" type="noConversion"/>
  </si>
  <si>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</si>
  <si>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</si>
  <si>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</si>
  <si>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</si>
  <si>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</si>
  <si>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</si>
  <si>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</si>
  <si>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</si>
  <si>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</si>
  <si>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</si>
  <si>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</si>
  <si>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</si>
  <si>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</si>
  <si>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</si>
  <si>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</si>
  <si>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</si>
  <si>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</si>
  <si>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</si>
  <si>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</si>
  <si>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</si>
  <si>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</si>
  <si>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</si>
  <si>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</si>
  <si>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</si>
  <si>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</si>
  <si>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</si>
  <si>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</si>
  <si>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</si>
  <si>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</si>
  <si>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</si>
  <si>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</si>
  <si>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</si>
  <si>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</si>
  <si>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</si>
  <si>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</si>
  <si>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</si>
  <si>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</si>
  <si>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</si>
  <si>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</si>
  <si>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</si>
  <si>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</si>
  <si>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跃式</t>
    <phoneticPr fontId="4" type="noConversion"/>
  </si>
  <si>
    <t>平层</t>
    <phoneticPr fontId="4" type="noConversion"/>
  </si>
  <si>
    <t>简装</t>
  </si>
  <si>
    <t>跃式</t>
  </si>
  <si>
    <t>六通</t>
  </si>
  <si>
    <t>专业</t>
  </si>
  <si>
    <t>中档</t>
  </si>
  <si>
    <t>高板</t>
  </si>
  <si>
    <t>南北</t>
  </si>
  <si>
    <t>平层</t>
  </si>
  <si>
    <t>估价对象</t>
  </si>
  <si>
    <t>比较法-住宅</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</si>
</sst>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18" borderId="6" xfId="0" applyFont="1" applyFill="1" applyBorder="1" applyAlignment="1" applyProtection="1">
      <alignment horizontal="center" vertical="center" wrapText="1"/>
      <protection locked="0"/>
    </xf>
    <xf numFmtId="0" fontId="222" fillId="18" borderId="43" xfId="0" applyFont="1" applyFill="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99" fillId="6" borderId="0" xfId="0" applyFont="1" applyFill="1" applyAlignment="1" applyProtection="1">
      <alignment vertical="center"/>
      <protection locked="0"/>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235" fillId="6" borderId="41"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180975</xdr:colOff>
      <xdr:row>10</xdr:row>
      <xdr:rowOff>161925</xdr:rowOff>
    </xdr:to>
    <xdr:pic>
      <xdr:nvPicPr>
        <xdr:cNvPr id="7475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96375" cy="1876425"/>
        </a:xfrm>
        <a:prstGeom prst="rect">
          <a:avLst/>
        </a:prstGeom>
        <a:noFill/>
        <a:ln w="1">
          <a:noFill/>
          <a:miter lim="800000"/>
          <a:headEnd/>
          <a:tailEnd type="none" w="med" len="med"/>
        </a:ln>
        <a:effectLst/>
      </xdr:spPr>
    </xdr:pic>
    <xdr:clientData/>
  </xdr:twoCellAnchor>
  <xdr:twoCellAnchor editAs="oneCell">
    <xdr:from>
      <xdr:col>0</xdr:col>
      <xdr:colOff>95250</xdr:colOff>
      <xdr:row>10</xdr:row>
      <xdr:rowOff>114300</xdr:rowOff>
    </xdr:from>
    <xdr:to>
      <xdr:col>12</xdr:col>
      <xdr:colOff>390525</xdr:colOff>
      <xdr:row>20</xdr:row>
      <xdr:rowOff>76200</xdr:rowOff>
    </xdr:to>
    <xdr:pic>
      <xdr:nvPicPr>
        <xdr:cNvPr id="7475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50" y="1828800"/>
          <a:ext cx="8524875" cy="1495425"/>
        </a:xfrm>
        <a:prstGeom prst="rect">
          <a:avLst/>
        </a:prstGeom>
        <a:noFill/>
        <a:ln w="1">
          <a:noFill/>
          <a:miter lim="800000"/>
          <a:headEnd/>
          <a:tailEnd type="none" w="med" len="med"/>
        </a:ln>
        <a:effectLst/>
      </xdr:spPr>
    </xdr:pic>
    <xdr:clientData/>
  </xdr:twoCellAnchor>
  <xdr:twoCellAnchor editAs="oneCell">
    <xdr:from>
      <xdr:col>0</xdr:col>
      <xdr:colOff>0</xdr:colOff>
      <xdr:row>20</xdr:row>
      <xdr:rowOff>28575</xdr:rowOff>
    </xdr:from>
    <xdr:to>
      <xdr:col>12</xdr:col>
      <xdr:colOff>447675</xdr:colOff>
      <xdr:row>29</xdr:row>
      <xdr:rowOff>57150</xdr:rowOff>
    </xdr:to>
    <xdr:pic>
      <xdr:nvPicPr>
        <xdr:cNvPr id="7475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3276600"/>
          <a:ext cx="8677275" cy="1571625"/>
        </a:xfrm>
        <a:prstGeom prst="rect">
          <a:avLst/>
        </a:prstGeom>
        <a:noFill/>
        <a:ln w="1">
          <a:noFill/>
          <a:miter lim="800000"/>
          <a:headEnd/>
          <a:tailEnd type="none" w="med" len="med"/>
        </a:ln>
        <a:effectLst/>
      </xdr:spPr>
    </xdr:pic>
    <xdr:clientData/>
  </xdr:twoCellAnchor>
  <xdr:twoCellAnchor editAs="oneCell">
    <xdr:from>
      <xdr:col>0</xdr:col>
      <xdr:colOff>1</xdr:colOff>
      <xdr:row>27</xdr:row>
      <xdr:rowOff>76201</xdr:rowOff>
    </xdr:from>
    <xdr:to>
      <xdr:col>10</xdr:col>
      <xdr:colOff>513513</xdr:colOff>
      <xdr:row>47</xdr:row>
      <xdr:rowOff>0</xdr:rowOff>
    </xdr:to>
    <xdr:pic>
      <xdr:nvPicPr>
        <xdr:cNvPr id="7475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1" y="4524376"/>
          <a:ext cx="7371512" cy="3352799"/>
        </a:xfrm>
        <a:prstGeom prst="rect">
          <a:avLst/>
        </a:prstGeom>
        <a:noFill/>
        <a:ln w="1">
          <a:noFill/>
          <a:miter lim="800000"/>
          <a:headEnd/>
          <a:tailEnd type="none" w="med" len="med"/>
        </a:ln>
        <a:effectLst/>
      </xdr:spPr>
    </xdr:pic>
    <xdr:clientData/>
  </xdr:twoCellAnchor>
  <xdr:twoCellAnchor editAs="oneCell">
    <xdr:from>
      <xdr:col>0</xdr:col>
      <xdr:colOff>19050</xdr:colOff>
      <xdr:row>46</xdr:row>
      <xdr:rowOff>152400</xdr:rowOff>
    </xdr:from>
    <xdr:to>
      <xdr:col>10</xdr:col>
      <xdr:colOff>661083</xdr:colOff>
      <xdr:row>56</xdr:row>
      <xdr:rowOff>28575</xdr:rowOff>
    </xdr:to>
    <xdr:pic>
      <xdr:nvPicPr>
        <xdr:cNvPr id="74759"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19050" y="7858125"/>
          <a:ext cx="7500033" cy="15906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北京市房地产抵押价值预评估</v>
      </c>
    </row>
    <row r="3" spans="1:2" s="1696" customFormat="1">
      <c r="A3" s="1697" t="s">
        <v>1103</v>
      </c>
      <c r="B3" s="1682" t="str">
        <f>'预评函-封皮'!B12</f>
        <v>北京恒远恒信科技发展有限公司</v>
      </c>
    </row>
    <row r="4" spans="1:2" s="1696" customFormat="1">
      <c r="A4" s="1697" t="s">
        <v>1104</v>
      </c>
      <c r="B4" s="1682" t="str">
        <f ca="1">'预评函-封皮'!B18</f>
        <v>郑燚（注册号:1120070131）、崔锴（注册号:1120100036)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受贵公司委托，我公司对北京市房地产进行了预评估。</v>
      </c>
    </row>
    <row r="7" spans="1:2">
      <c r="A7" s="1697" t="s">
        <v>1107</v>
      </c>
      <c r="B7" s="1684" t="str">
        <f>'预评函-1'!A6</f>
        <v>估价对象为北京市房地产，为连灏所有。根据《不动产权证书》[]，估价对象建筑面积为261.59平方米，（分摊）出让国有建设用地使用权面积为平方米。估价对象用途为。</v>
      </c>
    </row>
    <row r="8" spans="1:2">
      <c r="A8" s="1697" t="s">
        <v>1108</v>
      </c>
      <c r="B8" s="1684" t="str">
        <f>'预评函-1'!A8</f>
        <v>为估价委托人在向浦发银行总行北京分行中关村支行办理贷款手续过程中，确定房地产抵押贷款额度提供参考依据而评估房地产抵押价值。</v>
      </c>
    </row>
    <row r="9" spans="1:2">
      <c r="A9" s="1697" t="s">
        <v>1109</v>
      </c>
      <c r="B9" s="1684" t="str">
        <f>'预评函-1'!A10</f>
        <v>2020年2月27日（评估专业人员实地查勘之日）</v>
      </c>
    </row>
    <row r="10" spans="1:2">
      <c r="A10" s="1697" t="s">
        <v>1110</v>
      </c>
      <c r="B10" s="1684" t="str">
        <f>'预评函-1'!A13</f>
        <v>本次估价的“房地产价值”是指在正常市场情况下，在价值时点2020年2月27日，估价对象规划用途为，假定未设立法定优先受偿款下的房地产市场价值。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本次评估采用的主估价方法为收益法和比较法。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261.58999999999997</v>
      </c>
    </row>
    <row r="19" spans="1:2">
      <c r="A19" s="1697" t="s">
        <v>1119</v>
      </c>
      <c r="B19" s="1684">
        <f ca="1">'预评函-2（1）'!D7</f>
        <v>31240647</v>
      </c>
    </row>
    <row r="20" spans="1:2">
      <c r="A20" s="1697" t="s">
        <v>1157</v>
      </c>
      <c r="B20" s="1684" t="str">
        <f>'预评函-2（1）'!C7</f>
        <v>总价（元）</v>
      </c>
    </row>
    <row r="21" spans="1:2">
      <c r="A21" s="1697" t="s">
        <v>1120</v>
      </c>
      <c r="B21" s="1684">
        <f ca="1">'预评函-2（1）'!D9</f>
        <v>119426</v>
      </c>
    </row>
    <row r="22" spans="1:2">
      <c r="A22" s="1697" t="s">
        <v>1121</v>
      </c>
      <c r="B22" s="1684" t="str">
        <f ca="1">'预评函-2（1）'!D8</f>
        <v>叁仟壹佰贰拾肆万零陆佰肆拾柒元整</v>
      </c>
    </row>
    <row r="23" spans="1:2">
      <c r="A23" s="1697" t="s">
        <v>1158</v>
      </c>
      <c r="B23" s="1684">
        <f>'预评函-2（1）'!D10</f>
        <v>0</v>
      </c>
    </row>
    <row r="24" spans="1:2">
      <c r="A24" s="1697" t="s">
        <v>1159</v>
      </c>
      <c r="B24" s="1684" t="str">
        <f>'预评函-2（1）'!C10</f>
        <v>总额（元）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31240647</v>
      </c>
    </row>
    <row r="30" spans="1:2">
      <c r="A30" s="1697" t="s">
        <v>1127</v>
      </c>
      <c r="B30" s="1684" t="str">
        <f ca="1">'预评函-2（1）'!D16</f>
        <v>叁仟壹佰贰拾肆万零陆佰肆拾柒元整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28772546</v>
      </c>
    </row>
    <row r="38" spans="1:2">
      <c r="A38" s="1697" t="s">
        <v>1135</v>
      </c>
      <c r="B38" s="1684">
        <f ca="1">'预评函-2（2）'!E4</f>
        <v>109991</v>
      </c>
    </row>
    <row r="39" spans="1:2">
      <c r="A39" s="1697" t="s">
        <v>1136</v>
      </c>
      <c r="B39" s="1684" t="str">
        <f ca="1">'预评函-2（2）'!D5</f>
        <v>贰仟捌佰柒拾柒万贰仟伍佰肆拾陆元整</v>
      </c>
    </row>
    <row r="40" spans="1:2">
      <c r="A40" s="1697" t="s">
        <v>1137</v>
      </c>
      <c r="B40" s="1684">
        <f ca="1">'预评函-2（2）'!F4</f>
        <v>2468102</v>
      </c>
    </row>
    <row r="41" spans="1:2">
      <c r="A41" s="1697" t="s">
        <v>1138</v>
      </c>
      <c r="B41" s="1684">
        <f ca="1">'预评函-2（2）'!G4</f>
        <v>9435</v>
      </c>
    </row>
    <row r="42" spans="1:2" s="1694" customFormat="1" ht="15.75" thickBot="1">
      <c r="A42" s="1698" t="s">
        <v>1139</v>
      </c>
      <c r="B42" s="1686" t="str">
        <f ca="1">'预评函-2（2）'!F5</f>
        <v>贰佰肆拾陆万捌仟壹佰零贰元整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根据估价对象《不动产权证书》原件、复印件，截至价值时点，估价对象已设定抵押。上述抵押权设定日期为2019年2月13日，权利人为，权利范围为，权利价值为。</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郑燚</v>
      </c>
    </row>
    <row r="53" spans="1:2">
      <c r="A53" s="1697" t="s">
        <v>1149</v>
      </c>
      <c r="B53" s="1684">
        <f ca="1">'预评函-3'!B4</f>
        <v>1120070131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单位：元、元/平方米（单位：人民币）</v>
      </c>
    </row>
    <row r="60" spans="1:2">
      <c r="A60" s="1700" t="s">
        <v>1165</v>
      </c>
      <c r="B60" s="1684" t="str">
        <f>'预评函-2（2）'!D2</f>
        <v>出让国有建设用地使用权价值</v>
      </c>
    </row>
    <row r="61" spans="1:2" s="1696" customFormat="1">
      <c r="A61" s="1700" t="s">
        <v>1166</v>
      </c>
      <c r="B61" s="1684" t="str">
        <f>'预评函-2（2）'!A14</f>
        <v>单位：平方米、元、元/平方米（币种：人民币）</v>
      </c>
    </row>
    <row r="62" spans="1:2" ht="28.5">
      <c r="A62" s="1700" t="s">
        <v>1250</v>
      </c>
      <c r="B62" s="1684">
        <f ca="1">'预评函-2（1）'!D38</f>
        <v>119426</v>
      </c>
    </row>
    <row r="63" spans="1:2" s="1696" customFormat="1" ht="28.5">
      <c r="A63" s="1700" t="s">
        <v>1251</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5.75" thickBot="1">
      <c r="A67" s="1701" t="s">
        <v>1177</v>
      </c>
      <c r="B67" s="1685" t="str">
        <f>'预评函-2（2）'!A12</f>
        <v/>
      </c>
    </row>
    <row r="68" spans="1:2" ht="15.75"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27" sqref="B27:B40"/>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1536</v>
      </c>
      <c r="B1" s="1989" t="str">
        <f>IF(B6="北京市","北京市",C6)&amp;IF(E12="房屋所有权证",B28,E28)&amp;D5&amp;"预评估"</f>
        <v>北京市房地产抵押价值预评估</v>
      </c>
      <c r="C1" s="1058"/>
      <c r="D1" s="1990"/>
      <c r="E1" s="1058"/>
      <c r="F1" s="1991" t="s">
        <v>1537</v>
      </c>
      <c r="G1" s="1677"/>
      <c r="I1" s="1015" t="str">
        <f>IF(B6="北京市","北京市",C6)&amp;IF(E12="房屋所有权证",B28,E28)&amp;"房地产"</f>
        <v>北京市房地产</v>
      </c>
    </row>
    <row r="2" spans="1:10" ht="13.5" thickTop="1">
      <c r="A2" s="1992" t="s">
        <v>1538</v>
      </c>
      <c r="B2" s="1083">
        <v>43888</v>
      </c>
      <c r="C2" s="1993" t="s">
        <v>1539</v>
      </c>
      <c r="D2" s="1083">
        <f>B2</f>
        <v>43888</v>
      </c>
      <c r="E2" s="1059"/>
      <c r="F2" s="1059"/>
      <c r="G2" s="1678"/>
      <c r="H2" s="1015"/>
    </row>
    <row r="3" spans="1:10" ht="13.5" thickBot="1">
      <c r="A3" s="1994" t="s">
        <v>1540</v>
      </c>
      <c r="B3" s="1995" t="s">
        <v>2826</v>
      </c>
      <c r="C3" s="1060">
        <f ca="1">SUMIF(注册房地产估价师,B3,估价师及机构信息!B3:B24)</f>
        <v>1120070131</v>
      </c>
      <c r="D3" s="1995" t="s">
        <v>2827</v>
      </c>
      <c r="E3" s="1061">
        <f ca="1">SUMIF(注册房地产估价师,D3,估价师及机构信息!B3:B24)</f>
        <v>1120100036</v>
      </c>
      <c r="F3" s="1062"/>
      <c r="G3" s="1679"/>
      <c r="H3" s="1015"/>
    </row>
    <row r="4" spans="1:10" ht="30" customHeight="1" thickTop="1">
      <c r="A4" s="1996" t="s">
        <v>1541</v>
      </c>
      <c r="B4" s="2744" t="s">
        <v>2828</v>
      </c>
      <c r="C4" s="1997" t="s">
        <v>1542</v>
      </c>
      <c r="D4" s="1998" t="s">
        <v>2830</v>
      </c>
      <c r="E4" s="1059"/>
      <c r="F4" s="1059"/>
      <c r="G4" s="1678"/>
    </row>
    <row r="5" spans="1:10" ht="24">
      <c r="A5" s="1999" t="s">
        <v>1543</v>
      </c>
      <c r="B5" s="2745" t="s">
        <v>2829</v>
      </c>
      <c r="C5" s="2000" t="s">
        <v>1544</v>
      </c>
      <c r="D5" s="2001" t="s">
        <v>2831</v>
      </c>
      <c r="E5" s="2002" t="s">
        <v>1545</v>
      </c>
      <c r="F5" s="2003" t="s">
        <v>2831</v>
      </c>
      <c r="G5" s="2004"/>
      <c r="I5" s="1015" t="str">
        <f>IF(C16="否","截至估价时点，估价对象抵押权未见登记。","截至价值时点，估价对象已设定抵押。")</f>
        <v>截至价值时点，估价对象已设定抵押。</v>
      </c>
    </row>
    <row r="6" spans="1:10">
      <c r="A6" s="2005" t="s">
        <v>1546</v>
      </c>
      <c r="B6" s="2006" t="s">
        <v>2832</v>
      </c>
      <c r="C6" s="2007" t="s">
        <v>2813</v>
      </c>
      <c r="D6" s="2008" t="s">
        <v>1547</v>
      </c>
      <c r="E6" s="1017"/>
      <c r="F6" s="1016"/>
      <c r="G6" s="1069"/>
      <c r="I6" s="1065" t="str">
        <f>IF(COUNTIF(B5,"*上海银行*"),"上海银行","")</f>
        <v/>
      </c>
    </row>
    <row r="7" spans="1:10" ht="13.5" thickBot="1">
      <c r="A7" s="1994" t="s">
        <v>1548</v>
      </c>
      <c r="B7" s="2009" t="s">
        <v>2833</v>
      </c>
      <c r="C7" s="2010" t="str">
        <f>IF(B7="自然人","姓名","名称")</f>
        <v>姓名</v>
      </c>
      <c r="D7" s="2754" t="s">
        <v>2905</v>
      </c>
      <c r="E7" s="1063"/>
      <c r="F7" s="1062"/>
      <c r="G7" s="1679"/>
    </row>
    <row r="8" spans="1:10" ht="13.5" thickTop="1">
      <c r="A8" s="2835" t="s">
        <v>1549</v>
      </c>
      <c r="B8" s="2011" t="s">
        <v>1550</v>
      </c>
      <c r="C8" s="2848" t="s">
        <v>2834</v>
      </c>
      <c r="D8" s="2849"/>
      <c r="E8" s="2012" t="s">
        <v>1551</v>
      </c>
      <c r="F8" s="2013" t="s">
        <v>1552</v>
      </c>
      <c r="G8" s="690" t="str">
        <f>C6</f>
        <v>XX</v>
      </c>
    </row>
    <row r="9" spans="1:10">
      <c r="A9" s="2835"/>
      <c r="B9" s="344" t="s">
        <v>1553</v>
      </c>
      <c r="C9" s="2753" t="s">
        <v>728</v>
      </c>
      <c r="D9" s="2014"/>
      <c r="E9" s="1005" t="s">
        <v>1554</v>
      </c>
      <c r="F9" s="991" t="s">
        <v>221</v>
      </c>
      <c r="G9" s="1007"/>
    </row>
    <row r="10" spans="1:10" ht="13.5" thickBot="1">
      <c r="A10" s="2835"/>
      <c r="B10" s="344" t="s">
        <v>1555</v>
      </c>
      <c r="C10" s="2850" t="s">
        <v>2835</v>
      </c>
      <c r="D10" s="2851"/>
      <c r="E10" s="2015" t="s">
        <v>1556</v>
      </c>
      <c r="F10" s="1008" t="s">
        <v>88</v>
      </c>
      <c r="G10" s="1009"/>
    </row>
    <row r="11" spans="1:10" ht="13.5" thickBot="1">
      <c r="A11" s="2835"/>
      <c r="B11" s="2016" t="s">
        <v>1557</v>
      </c>
      <c r="C11" s="2852" t="s">
        <v>2836</v>
      </c>
      <c r="D11" s="2853"/>
      <c r="E11" s="1017"/>
      <c r="F11" s="1016"/>
      <c r="G11" s="1069"/>
    </row>
    <row r="12" spans="1:10" ht="24.75" thickBot="1">
      <c r="A12" s="2839" t="s">
        <v>1558</v>
      </c>
      <c r="B12" s="2017" t="s">
        <v>1559</v>
      </c>
      <c r="C12" s="1011">
        <v>261.58999999999997</v>
      </c>
      <c r="D12" s="2017" t="s">
        <v>1560</v>
      </c>
      <c r="E12" s="2018" t="s">
        <v>1561</v>
      </c>
      <c r="F12" s="2019" t="s">
        <v>1562</v>
      </c>
      <c r="G12" s="1069"/>
    </row>
    <row r="13" spans="1:10" ht="21" customHeight="1" thickBot="1">
      <c r="A13" s="2840"/>
      <c r="B13" s="2020" t="s">
        <v>1563</v>
      </c>
      <c r="C13" s="1012"/>
      <c r="D13" s="2020" t="s">
        <v>1564</v>
      </c>
      <c r="E13" s="2021" t="s">
        <v>1561</v>
      </c>
      <c r="F13" s="1016"/>
      <c r="G13" s="1069"/>
      <c r="I13" s="2858" t="s">
        <v>1565</v>
      </c>
      <c r="J13" s="2022"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3"/>
      <c r="B14" s="2024" t="s">
        <v>1566</v>
      </c>
      <c r="C14" s="2025"/>
      <c r="D14" s="1016"/>
      <c r="E14" s="1016"/>
      <c r="F14" s="1016"/>
      <c r="G14" s="1069"/>
      <c r="I14" s="2858"/>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6"/>
      <c r="B15" s="2027" t="s">
        <v>1567</v>
      </c>
      <c r="C15" s="1064"/>
      <c r="D15" s="1062"/>
      <c r="E15" s="1062"/>
      <c r="F15" s="1062"/>
      <c r="G15" s="1679"/>
      <c r="I15" s="2858"/>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1568</v>
      </c>
      <c r="B16" s="2028" t="s">
        <v>1569</v>
      </c>
      <c r="C16" s="2029" t="s">
        <v>2812</v>
      </c>
      <c r="D16" s="2030" t="s">
        <v>1570</v>
      </c>
      <c r="E16" s="2031" t="s">
        <v>2812</v>
      </c>
      <c r="F16" s="2032" t="str">
        <f>IF(AND(C16="是",E16="否"),"是否提供他项权证或相关说明","")</f>
        <v/>
      </c>
      <c r="G16" s="2031" t="s">
        <v>2812</v>
      </c>
      <c r="I16" s="1066"/>
      <c r="J16" s="1015"/>
    </row>
    <row r="17" spans="1:15" ht="13.5" customHeight="1">
      <c r="A17" s="2033" t="s">
        <v>1571</v>
      </c>
      <c r="B17" s="2854" t="s">
        <v>1572</v>
      </c>
      <c r="C17" s="2855"/>
      <c r="D17" s="2856" t="s">
        <v>1573</v>
      </c>
      <c r="E17" s="2857"/>
      <c r="F17" s="2034" t="s">
        <v>1574</v>
      </c>
      <c r="G17" s="2035"/>
      <c r="J17" s="1015"/>
    </row>
    <row r="18" spans="1:15" ht="24">
      <c r="A18" s="2033"/>
      <c r="B18" s="2036" t="s">
        <v>1575</v>
      </c>
      <c r="C18" s="2004" t="s">
        <v>1576</v>
      </c>
      <c r="D18" s="2037" t="s">
        <v>1577</v>
      </c>
      <c r="E18" s="2038" t="s">
        <v>1578</v>
      </c>
      <c r="F18" s="2039"/>
      <c r="G18" s="1863"/>
      <c r="H18" s="1015"/>
      <c r="J18" s="1015"/>
    </row>
    <row r="19" spans="1:15" ht="21.75" customHeight="1" thickBot="1">
      <c r="A19" s="2033"/>
      <c r="B19" s="2040"/>
      <c r="C19" s="2021" t="s">
        <v>2837</v>
      </c>
      <c r="D19" s="2041"/>
      <c r="E19" s="1016"/>
      <c r="F19" s="1016"/>
      <c r="G19" s="1863"/>
    </row>
    <row r="20" spans="1:15">
      <c r="A20" s="2042" t="s">
        <v>1579</v>
      </c>
      <c r="B20" s="2043" t="s">
        <v>1580</v>
      </c>
      <c r="C20" s="2044">
        <v>43509</v>
      </c>
      <c r="D20" s="2045" t="s">
        <v>1580</v>
      </c>
      <c r="E20" s="2044"/>
      <c r="F20" s="1016"/>
      <c r="G20" s="1863"/>
    </row>
    <row r="21" spans="1:15">
      <c r="A21" s="2046"/>
      <c r="B21" s="2047" t="s">
        <v>1581</v>
      </c>
      <c r="C21" s="2048"/>
      <c r="D21" s="2033" t="s">
        <v>1581</v>
      </c>
      <c r="E21" s="2049"/>
      <c r="F21" s="1016"/>
      <c r="G21" s="1863"/>
    </row>
    <row r="22" spans="1:15">
      <c r="A22" s="2046"/>
      <c r="B22" s="2050" t="s">
        <v>1582</v>
      </c>
      <c r="C22" s="2051"/>
      <c r="D22" s="2050" t="s">
        <v>1582</v>
      </c>
      <c r="E22" s="2049"/>
      <c r="F22" s="1016"/>
      <c r="G22" s="1863"/>
    </row>
    <row r="23" spans="1:15" s="1861" customFormat="1" ht="21" thickBot="1">
      <c r="A23" s="2052"/>
      <c r="B23" s="2053" t="s">
        <v>1583</v>
      </c>
      <c r="C23" s="2054"/>
      <c r="D23" s="2053" t="s">
        <v>1584</v>
      </c>
      <c r="E23" s="2055"/>
      <c r="F23" s="1016"/>
      <c r="G23" s="1863"/>
      <c r="H23" s="2056"/>
      <c r="I23" s="1862"/>
      <c r="K23" s="1860"/>
      <c r="L23" s="1860"/>
      <c r="M23" s="1860"/>
      <c r="O23" s="1862"/>
    </row>
    <row r="24" spans="1:15" ht="13.5" thickBot="1">
      <c r="A24" s="1067" t="s">
        <v>1585</v>
      </c>
      <c r="B24" s="1016"/>
      <c r="C24" s="1016"/>
      <c r="D24" s="1016"/>
      <c r="E24" s="1016"/>
      <c r="F24" s="1016"/>
      <c r="G24" s="1864"/>
      <c r="I24" s="1066"/>
      <c r="K24" s="1066"/>
    </row>
    <row r="25" spans="1:15" s="1076" customFormat="1" ht="13.5" thickBot="1">
      <c r="A25" s="990"/>
      <c r="B25" s="2057" t="s">
        <v>1586</v>
      </c>
      <c r="C25" s="990"/>
      <c r="D25" s="1010"/>
      <c r="E25" s="1013" t="s">
        <v>1587</v>
      </c>
      <c r="F25" s="990"/>
      <c r="G25" s="2058" t="s">
        <v>1588</v>
      </c>
      <c r="L25" s="1077"/>
      <c r="M25" s="1077"/>
      <c r="O25" s="1078"/>
    </row>
    <row r="26" spans="1:15" s="1076" customFormat="1" ht="13.5" thickBot="1">
      <c r="A26" s="990"/>
      <c r="B26" s="1084" t="s">
        <v>2838</v>
      </c>
      <c r="C26" s="990"/>
      <c r="D26" s="1010"/>
      <c r="E26" s="1084"/>
      <c r="F26" s="990"/>
      <c r="G26" s="1680"/>
      <c r="L26" s="1077"/>
      <c r="M26" s="1077"/>
      <c r="O26" s="1078"/>
    </row>
    <row r="27" spans="1:15" ht="24">
      <c r="A27" s="1002" t="s">
        <v>1589</v>
      </c>
      <c r="B27" s="2755" t="s">
        <v>2907</v>
      </c>
      <c r="C27" s="2842" t="s">
        <v>1589</v>
      </c>
      <c r="D27" s="2843"/>
      <c r="E27" s="999"/>
      <c r="F27" s="1006" t="s">
        <v>1589</v>
      </c>
      <c r="G27" s="999"/>
      <c r="I27" s="1066"/>
      <c r="K27" s="1066"/>
    </row>
    <row r="28" spans="1:15" ht="36">
      <c r="A28" s="1003" t="s">
        <v>1590</v>
      </c>
      <c r="B28" s="2756" t="s">
        <v>2908</v>
      </c>
      <c r="C28" s="2844" t="s">
        <v>1591</v>
      </c>
      <c r="D28" s="2845"/>
      <c r="E28" s="973"/>
      <c r="F28" s="1888" t="s">
        <v>1591</v>
      </c>
      <c r="G28" s="973"/>
      <c r="I28" s="1066"/>
      <c r="K28" s="1066"/>
    </row>
    <row r="29" spans="1:15">
      <c r="A29" s="1003" t="s">
        <v>1592</v>
      </c>
      <c r="B29" s="973"/>
      <c r="C29" s="2844" t="s">
        <v>1592</v>
      </c>
      <c r="D29" s="2845"/>
      <c r="E29" s="973"/>
      <c r="F29" s="1888" t="s">
        <v>1593</v>
      </c>
      <c r="G29" s="973"/>
      <c r="I29" s="1066"/>
      <c r="K29" s="1066"/>
    </row>
    <row r="30" spans="1:15">
      <c r="A30" s="1003" t="s">
        <v>1594</v>
      </c>
      <c r="B30" s="2756" t="s">
        <v>2909</v>
      </c>
      <c r="C30" s="2864" t="s">
        <v>1595</v>
      </c>
      <c r="D30" s="2059"/>
      <c r="E30" s="1018" t="str">
        <f>E31&amp;" "&amp;E32&amp;" "&amp;E33&amp;" "&amp;E34</f>
        <v xml:space="preserve">   </v>
      </c>
      <c r="F30" s="1888" t="s">
        <v>1596</v>
      </c>
      <c r="G30" s="973"/>
    </row>
    <row r="31" spans="1:15">
      <c r="A31" s="1003" t="s">
        <v>1597</v>
      </c>
      <c r="B31" s="2757">
        <v>38497</v>
      </c>
      <c r="C31" s="2865"/>
      <c r="D31" s="1887" t="s">
        <v>1598</v>
      </c>
      <c r="E31" s="973"/>
      <c r="F31" s="1888" t="s">
        <v>1599</v>
      </c>
      <c r="G31" s="973"/>
    </row>
    <row r="32" spans="1:15" ht="24.75" thickBot="1">
      <c r="A32" s="1004" t="s">
        <v>1600</v>
      </c>
      <c r="B32" s="2758" t="s">
        <v>2910</v>
      </c>
      <c r="C32" s="2865"/>
      <c r="D32" s="1887" t="s">
        <v>1601</v>
      </c>
      <c r="E32" s="973"/>
      <c r="F32" s="1888" t="s">
        <v>1602</v>
      </c>
      <c r="G32" s="973"/>
    </row>
    <row r="33" spans="1:7">
      <c r="A33" s="1002" t="s">
        <v>1603</v>
      </c>
      <c r="B33" s="2755" t="s">
        <v>2911</v>
      </c>
      <c r="C33" s="2865"/>
      <c r="D33" s="1887" t="s">
        <v>1604</v>
      </c>
      <c r="E33" s="973"/>
      <c r="F33" s="1888" t="s">
        <v>1605</v>
      </c>
      <c r="G33" s="973"/>
    </row>
    <row r="34" spans="1:7" ht="13.5" thickBot="1">
      <c r="A34" s="1003" t="s">
        <v>1606</v>
      </c>
      <c r="B34" s="2756" t="s">
        <v>2911</v>
      </c>
      <c r="C34" s="2866"/>
      <c r="D34" s="1887" t="s">
        <v>1607</v>
      </c>
      <c r="E34" s="973"/>
      <c r="F34" s="1889" t="s">
        <v>1608</v>
      </c>
      <c r="G34" s="1001"/>
    </row>
    <row r="35" spans="1:7">
      <c r="A35" s="1003" t="s">
        <v>1559</v>
      </c>
      <c r="B35" s="973">
        <v>261.58999999999997</v>
      </c>
      <c r="C35" s="2844" t="s">
        <v>1609</v>
      </c>
      <c r="D35" s="2845"/>
      <c r="E35" s="973"/>
      <c r="F35" s="1014" t="s">
        <v>1610</v>
      </c>
      <c r="G35" s="999"/>
    </row>
    <row r="36" spans="1:7" ht="13.5" thickBot="1">
      <c r="A36" s="1003" t="s">
        <v>1611</v>
      </c>
      <c r="B36" s="973">
        <v>217.84</v>
      </c>
      <c r="C36" s="2846" t="s">
        <v>1612</v>
      </c>
      <c r="D36" s="2847"/>
      <c r="E36" s="1000"/>
      <c r="F36" s="1885" t="s">
        <v>1613</v>
      </c>
      <c r="G36" s="973"/>
    </row>
    <row r="37" spans="1:7" ht="13.5" thickBot="1">
      <c r="A37" s="1003" t="s">
        <v>1614</v>
      </c>
      <c r="B37" s="973"/>
      <c r="C37" s="2836" t="s">
        <v>1615</v>
      </c>
      <c r="D37" s="2060" t="s">
        <v>1599</v>
      </c>
      <c r="E37" s="999"/>
      <c r="F37" s="1889" t="s">
        <v>1616</v>
      </c>
      <c r="G37" s="1000"/>
    </row>
    <row r="38" spans="1:7">
      <c r="A38" s="1003" t="s">
        <v>1617</v>
      </c>
      <c r="B38" s="973">
        <v>13</v>
      </c>
      <c r="C38" s="2837"/>
      <c r="D38" s="1887" t="s">
        <v>1606</v>
      </c>
      <c r="E38" s="973"/>
      <c r="F38" s="1006" t="s">
        <v>1618</v>
      </c>
      <c r="G38" s="999"/>
    </row>
    <row r="39" spans="1:7">
      <c r="A39" s="1003" t="s">
        <v>1619</v>
      </c>
      <c r="B39" s="973">
        <v>9</v>
      </c>
      <c r="C39" s="2837" t="s">
        <v>1620</v>
      </c>
      <c r="D39" s="1887" t="s">
        <v>1559</v>
      </c>
      <c r="E39" s="973"/>
      <c r="F39" s="1888" t="s">
        <v>1621</v>
      </c>
      <c r="G39" s="973"/>
    </row>
    <row r="40" spans="1:7" ht="24.75" customHeight="1" thickBot="1">
      <c r="A40" s="1004" t="s">
        <v>1622</v>
      </c>
      <c r="B40" s="1000">
        <v>2002</v>
      </c>
      <c r="C40" s="2838"/>
      <c r="D40" s="1890" t="s">
        <v>1563</v>
      </c>
      <c r="E40" s="1000"/>
      <c r="F40" s="1889" t="s">
        <v>1623</v>
      </c>
      <c r="G40" s="1000"/>
    </row>
    <row r="41" spans="1:7">
      <c r="A41" s="1005" t="s">
        <v>1624</v>
      </c>
      <c r="B41" s="1055" t="s">
        <v>2840</v>
      </c>
      <c r="C41" s="2859" t="s">
        <v>1624</v>
      </c>
      <c r="D41" s="2860"/>
      <c r="E41" s="1055"/>
      <c r="F41" s="1006" t="s">
        <v>1625</v>
      </c>
      <c r="G41" s="1055"/>
    </row>
    <row r="42" spans="1:7">
      <c r="A42" s="1052" t="s">
        <v>1626</v>
      </c>
      <c r="B42" s="1056" t="s">
        <v>2837</v>
      </c>
      <c r="C42" s="2061"/>
      <c r="D42" s="2062"/>
      <c r="E42" s="1056"/>
      <c r="F42" s="1054"/>
      <c r="G42" s="1056"/>
    </row>
    <row r="43" spans="1:7">
      <c r="A43" s="94" t="s">
        <v>1580</v>
      </c>
      <c r="B43" s="2759">
        <v>43509</v>
      </c>
      <c r="C43" s="2061"/>
      <c r="D43" s="2063" t="s">
        <v>1580</v>
      </c>
      <c r="E43" s="1053"/>
      <c r="F43" s="94" t="s">
        <v>1580</v>
      </c>
      <c r="G43" s="1053"/>
    </row>
    <row r="44" spans="1:7">
      <c r="A44" s="94" t="s">
        <v>1581</v>
      </c>
      <c r="B44" s="1053"/>
      <c r="C44" s="2061"/>
      <c r="D44" s="2047" t="s">
        <v>1581</v>
      </c>
      <c r="E44" s="1053"/>
      <c r="F44" s="94" t="s">
        <v>1581</v>
      </c>
      <c r="G44" s="1053"/>
    </row>
    <row r="45" spans="1:7">
      <c r="A45" s="94" t="s">
        <v>1582</v>
      </c>
      <c r="B45" s="1053"/>
      <c r="C45" s="2061"/>
      <c r="D45" s="2047" t="s">
        <v>1582</v>
      </c>
      <c r="E45" s="1053"/>
      <c r="F45" s="94" t="s">
        <v>1582</v>
      </c>
      <c r="G45" s="1053"/>
    </row>
    <row r="46" spans="1:7">
      <c r="A46" s="94" t="s">
        <v>1583</v>
      </c>
      <c r="B46" s="1053"/>
      <c r="C46" s="2061"/>
      <c r="D46" s="2047" t="s">
        <v>1583</v>
      </c>
      <c r="E46" s="1053"/>
      <c r="F46" s="94" t="s">
        <v>1583</v>
      </c>
      <c r="G46" s="1053"/>
    </row>
    <row r="47" spans="1:7">
      <c r="A47" s="1052"/>
      <c r="B47" s="1053"/>
      <c r="C47" s="2061"/>
      <c r="D47" s="2062"/>
      <c r="E47" s="1053"/>
      <c r="F47" s="1054"/>
      <c r="G47" s="1053"/>
    </row>
    <row r="48" spans="1:7" ht="13.5" thickBot="1">
      <c r="A48" s="1004" t="s">
        <v>1627</v>
      </c>
      <c r="B48" s="1000"/>
      <c r="C48" s="2861" t="s">
        <v>1627</v>
      </c>
      <c r="D48" s="2862"/>
      <c r="E48" s="1050"/>
      <c r="F48" s="1889" t="s">
        <v>1628</v>
      </c>
      <c r="G48" s="1000"/>
    </row>
    <row r="49" spans="1:15">
      <c r="A49" s="1003" t="s">
        <v>1629</v>
      </c>
      <c r="B49" s="1049"/>
      <c r="C49" s="2836" t="s">
        <v>1630</v>
      </c>
      <c r="D49" s="2863"/>
      <c r="E49" s="1051"/>
      <c r="F49" s="1079"/>
      <c r="G49" s="1080"/>
    </row>
    <row r="50" spans="1:15" ht="13.5" thickBot="1">
      <c r="A50" s="1003" t="s">
        <v>1631</v>
      </c>
      <c r="B50" s="1049"/>
      <c r="C50" s="2838" t="s">
        <v>1632</v>
      </c>
      <c r="D50" s="2841"/>
      <c r="E50" s="1000"/>
      <c r="F50" s="1016"/>
      <c r="G50" s="1069"/>
    </row>
    <row r="51" spans="1:15">
      <c r="A51" s="1003" t="s">
        <v>1610</v>
      </c>
      <c r="B51" s="973"/>
      <c r="C51" s="1016"/>
      <c r="D51" s="1016"/>
      <c r="E51" s="1016"/>
      <c r="F51" s="1016"/>
      <c r="G51" s="1069"/>
    </row>
    <row r="52" spans="1:15" ht="24.75"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7" t="s">
        <v>0</v>
      </c>
      <c r="B1" s="2867" t="s">
        <v>2</v>
      </c>
      <c r="C1" s="2867" t="s">
        <v>3</v>
      </c>
      <c r="D1" s="2868" t="s">
        <v>67</v>
      </c>
      <c r="E1" s="2868" t="s">
        <v>68</v>
      </c>
      <c r="F1" s="2868"/>
      <c r="G1" s="2868"/>
      <c r="H1" s="2868"/>
      <c r="I1" s="2868"/>
      <c r="J1" s="2868"/>
      <c r="K1" s="2868"/>
      <c r="L1" s="2868"/>
      <c r="M1" s="2868"/>
    </row>
    <row r="2" spans="1:13" ht="27" customHeight="1">
      <c r="A2" s="2867"/>
      <c r="B2" s="2867"/>
      <c r="C2" s="2867"/>
      <c r="D2" s="2868"/>
      <c r="E2" s="2868" t="s">
        <v>51</v>
      </c>
      <c r="F2" s="2868" t="s">
        <v>52</v>
      </c>
      <c r="G2" s="2868"/>
      <c r="H2" s="2868"/>
      <c r="I2" s="2868"/>
      <c r="J2" s="2868" t="s">
        <v>53</v>
      </c>
      <c r="K2" s="2868"/>
      <c r="L2" s="2868"/>
      <c r="M2" s="2868"/>
    </row>
    <row r="3" spans="1:13" ht="28.5">
      <c r="A3" s="2867"/>
      <c r="B3" s="2867"/>
      <c r="C3" s="2867"/>
      <c r="D3" s="2868"/>
      <c r="E3" s="286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8" t="s">
        <v>69</v>
      </c>
      <c r="B9" s="2868"/>
      <c r="C9" s="286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E24" activePane="bottomRight" state="frozen"/>
      <selection activeCell="A11" sqref="A11:D11"/>
      <selection pane="topRight" activeCell="A11" sqref="A11:D11"/>
      <selection pane="bottomLeft" activeCell="A11" sqref="A11:D11"/>
      <selection pane="bottomRight" activeCell="H33" sqref="H33"/>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1634</v>
      </c>
      <c r="B1" s="1232"/>
      <c r="C1" s="1232"/>
      <c r="D1" s="1848"/>
      <c r="E1" s="1848"/>
      <c r="AE1" s="1232"/>
      <c r="AF1" s="1232"/>
      <c r="AG1" s="1232"/>
      <c r="AH1" s="1232"/>
      <c r="AI1" s="1232"/>
      <c r="AJ1" s="1232"/>
      <c r="AK1" s="1232"/>
      <c r="AL1" s="1232"/>
      <c r="AM1" s="1232"/>
      <c r="AN1" s="1232"/>
      <c r="AO1" s="1232"/>
    </row>
    <row r="2" spans="1:41" s="2069" customFormat="1" ht="15.75" thickBot="1">
      <c r="A2" s="2066" t="s">
        <v>1635</v>
      </c>
      <c r="B2" s="1204">
        <f>项目基本情况!D2</f>
        <v>43888</v>
      </c>
      <c r="C2" s="1850"/>
      <c r="D2" s="2869" t="s">
        <v>1636</v>
      </c>
      <c r="E2" s="2067"/>
      <c r="F2" s="2068"/>
      <c r="G2" s="2068"/>
      <c r="H2" s="2068"/>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9" customFormat="1" ht="15" customHeight="1" thickBot="1">
      <c r="A3" s="387" t="s">
        <v>1637</v>
      </c>
      <c r="B3" s="2070" t="s">
        <v>2841</v>
      </c>
      <c r="C3" s="1850"/>
      <c r="D3" s="2870"/>
      <c r="E3" s="1183" t="s">
        <v>2913</v>
      </c>
      <c r="F3" s="2068"/>
      <c r="G3" s="2068"/>
      <c r="H3" s="2068"/>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9" customFormat="1" ht="15" thickBot="1">
      <c r="A4" s="1480" t="s">
        <v>1638</v>
      </c>
      <c r="B4" s="2070" t="s">
        <v>2842</v>
      </c>
      <c r="C4" s="1850"/>
      <c r="D4" s="2870"/>
      <c r="E4" s="1183"/>
      <c r="F4" s="2068"/>
      <c r="G4" s="2068"/>
      <c r="H4" s="2068"/>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9" customFormat="1" ht="15.75" thickBot="1">
      <c r="A5" s="2071" t="s">
        <v>1639</v>
      </c>
      <c r="B5" s="1313">
        <f>项目基本情况!C12</f>
        <v>261.58999999999997</v>
      </c>
      <c r="C5" s="1850"/>
      <c r="D5" s="2072" t="s">
        <v>1640</v>
      </c>
      <c r="E5" s="393"/>
      <c r="F5" s="2068"/>
      <c r="G5" s="2068"/>
      <c r="H5" s="2068"/>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9" customFormat="1" ht="15.75" thickBot="1">
      <c r="A6" s="2073" t="s">
        <v>1641</v>
      </c>
      <c r="B6" s="1314">
        <f>项目基本情况!C13</f>
        <v>0</v>
      </c>
      <c r="C6" s="1850"/>
      <c r="D6" s="2072" t="s">
        <v>1642</v>
      </c>
      <c r="E6" s="393"/>
      <c r="F6" s="2068"/>
      <c r="G6" s="2068"/>
      <c r="H6" s="2068"/>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9" customFormat="1" ht="15">
      <c r="A7" s="2074"/>
      <c r="B7" s="1850"/>
      <c r="C7" s="1850"/>
      <c r="D7" s="2075"/>
      <c r="E7" s="2075"/>
      <c r="F7" s="2068"/>
      <c r="G7" s="2068"/>
      <c r="H7" s="2068"/>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9" customFormat="1" ht="15">
      <c r="A8" s="2074"/>
      <c r="B8" s="1850"/>
      <c r="C8" s="1850"/>
      <c r="D8" s="2075"/>
      <c r="E8" s="2075"/>
      <c r="F8" s="2068"/>
      <c r="G8" s="2068"/>
      <c r="H8" s="2068"/>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9" customFormat="1" ht="15" thickBot="1">
      <c r="A9" s="1850"/>
      <c r="B9" s="1850"/>
      <c r="C9" s="1850"/>
      <c r="D9" s="2068"/>
      <c r="E9" s="2068"/>
      <c r="F9" s="2068"/>
      <c r="G9" s="2068"/>
      <c r="H9" s="2068"/>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9" customFormat="1" ht="15" thickBot="1">
      <c r="A10" s="2076" t="s">
        <v>1643</v>
      </c>
      <c r="B10" s="2077" t="s">
        <v>2906</v>
      </c>
      <c r="C10" s="1850"/>
      <c r="D10" s="2066" t="s">
        <v>1644</v>
      </c>
      <c r="E10" s="2078" t="s">
        <v>1645</v>
      </c>
      <c r="F10" s="1140" t="s">
        <v>1646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2" customFormat="1" ht="14.25">
      <c r="A11" s="2079" t="s">
        <v>1647</v>
      </c>
      <c r="B11" s="985">
        <v>70</v>
      </c>
      <c r="C11" s="1850"/>
      <c r="D11" s="2080" t="s">
        <v>1648</v>
      </c>
      <c r="E11" s="34">
        <v>200</v>
      </c>
      <c r="F11" s="1849" t="s">
        <v>1649</v>
      </c>
      <c r="G11" s="1850"/>
      <c r="H11" s="1850"/>
      <c r="I11" s="1850"/>
      <c r="J11" s="1850"/>
      <c r="K11" s="1850"/>
      <c r="L11" s="2081"/>
      <c r="M11" s="2081"/>
      <c r="N11" s="2081"/>
      <c r="O11" s="2081"/>
      <c r="P11" s="2081"/>
      <c r="Q11" s="2081"/>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9" customFormat="1" ht="15">
      <c r="A12" s="2083" t="s">
        <v>1650</v>
      </c>
      <c r="B12" s="2084">
        <v>62575</v>
      </c>
      <c r="C12" s="1850"/>
      <c r="D12" s="2085" t="s">
        <v>1651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9" customFormat="1" ht="15" thickBot="1">
      <c r="A13" s="2086" t="s">
        <v>1652</v>
      </c>
      <c r="B13" s="986">
        <f>IF(B12="",B11-(YEAR($B$2)-B26+B23),ROUNDDOWN(MIN((B12-$B$2)/365,B11),2))</f>
        <v>51.19</v>
      </c>
      <c r="C13" s="2087"/>
      <c r="D13" s="2088" t="s">
        <v>1653</v>
      </c>
      <c r="E13" s="39"/>
      <c r="F13" s="1844" t="s">
        <v>1654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9" customFormat="1" ht="14.25">
      <c r="A14" s="2083" t="s">
        <v>1655</v>
      </c>
      <c r="B14" s="987">
        <f>IF(ISERROR(ROUND(POWER(1+B15,B11-B13)*(POWER(1+B15,B13)-1)/(POWER(1+B15,B11)-1),3)),0,ROUND(POWER(1+B15,B11-B13)*(POWER(1+B15,B13)-1)/(POWER(1+B15,B11)-1),3))</f>
        <v>0.92500000000000004</v>
      </c>
      <c r="C14" s="1850"/>
      <c r="D14" s="2089" t="s">
        <v>1656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9" customFormat="1" ht="14.25">
      <c r="A15" s="2083" t="s">
        <v>1657</v>
      </c>
      <c r="B15" s="30">
        <v>0.04</v>
      </c>
      <c r="C15" s="1850"/>
      <c r="D15" s="2085" t="s">
        <v>1658</v>
      </c>
      <c r="E15" s="38">
        <f>E14-E16</f>
        <v>200</v>
      </c>
      <c r="F15" s="1845">
        <v>0.8</v>
      </c>
      <c r="G15" s="1850">
        <f>ROUND(1-(2020-2002)/60,2)</f>
        <v>0.7</v>
      </c>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9" customFormat="1" ht="15" thickBot="1">
      <c r="A16" s="2083" t="s">
        <v>1659</v>
      </c>
      <c r="B16" s="30">
        <v>4.4999999999999998E-2</v>
      </c>
      <c r="C16" s="1850"/>
      <c r="D16" s="2090" t="s">
        <v>1660</v>
      </c>
      <c r="E16" s="709"/>
      <c r="F16" s="1846"/>
      <c r="G16" s="2779">
        <f>AVERAGE(F15:G15)</f>
        <v>0.75</v>
      </c>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9" customFormat="1" ht="15" thickBot="1">
      <c r="A17" s="2091" t="s">
        <v>1661</v>
      </c>
      <c r="B17" s="992">
        <v>8.5000000000000006E-2</v>
      </c>
      <c r="C17" s="1850"/>
      <c r="D17" s="2076" t="s">
        <v>1662</v>
      </c>
      <c r="E17" s="980">
        <v>3000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9" customFormat="1" ht="15" thickBot="1">
      <c r="A18" s="1850"/>
      <c r="B18" s="1850"/>
      <c r="C18" s="1850"/>
      <c r="D18" s="2092" t="str">
        <f>IF(B25=0,"建安总额","在建建安")</f>
        <v>建安总额</v>
      </c>
      <c r="E18" s="981">
        <f>ROUND(B5*E17*IF(B25=0,1,E20),0)</f>
        <v>784770</v>
      </c>
      <c r="F18" s="1315">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9" customFormat="1" ht="15" thickBot="1">
      <c r="A19" s="25" t="s">
        <v>1663</v>
      </c>
      <c r="B19" s="1850"/>
      <c r="C19" s="1850"/>
      <c r="D19" s="2092"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9" customFormat="1" ht="15" thickBot="1">
      <c r="A20" s="2093" t="s">
        <v>1664</v>
      </c>
      <c r="B20" s="31">
        <v>0</v>
      </c>
      <c r="C20" s="1850"/>
      <c r="D20" s="2094" t="str">
        <f>IF(B25=0,"成新率","工程进度")</f>
        <v>成新率</v>
      </c>
      <c r="E20" s="982">
        <f>G16</f>
        <v>0.75</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9" customFormat="1" ht="14.25">
      <c r="A21" s="2095" t="s">
        <v>1665</v>
      </c>
      <c r="B21" s="32">
        <v>1.5</v>
      </c>
      <c r="C21" s="1850"/>
      <c r="D21" s="2085" t="s">
        <v>1666</v>
      </c>
      <c r="E21" s="710">
        <v>0.03</v>
      </c>
      <c r="F21" s="1847" t="s">
        <v>1667</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9" customFormat="1" ht="14.25">
      <c r="A22" s="2096" t="s">
        <v>1668</v>
      </c>
      <c r="B22" s="1449">
        <v>1.5</v>
      </c>
      <c r="C22" s="1850"/>
      <c r="D22" s="2085" t="s">
        <v>1669</v>
      </c>
      <c r="E22" s="40">
        <v>0.02</v>
      </c>
      <c r="F22" s="1847" t="s">
        <v>1670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9" customFormat="1" ht="15" thickBot="1">
      <c r="A23" s="2097" t="s">
        <v>1671</v>
      </c>
      <c r="B23" s="33">
        <f>B20+B21</f>
        <v>1.5</v>
      </c>
      <c r="C23" s="1850"/>
      <c r="D23" s="2085" t="s">
        <v>1672</v>
      </c>
      <c r="E23" s="37">
        <v>200</v>
      </c>
      <c r="F23" s="1847" t="s">
        <v>1673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9" customFormat="1" ht="15" thickBot="1">
      <c r="A24" s="2098" t="s">
        <v>1674</v>
      </c>
      <c r="B24" s="1737">
        <f>B20+B22</f>
        <v>1.5</v>
      </c>
      <c r="C24" s="1850"/>
      <c r="D24" s="2090" t="s">
        <v>1675</v>
      </c>
      <c r="E24" s="1813">
        <v>1.4999999999999999E-2</v>
      </c>
      <c r="F24" s="1847" t="s">
        <v>1676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7" t="s">
        <v>1677</v>
      </c>
      <c r="B25" s="1448">
        <f>B21-B22</f>
        <v>0</v>
      </c>
      <c r="C25" s="1232"/>
      <c r="D25" s="2080" t="s">
        <v>1678</v>
      </c>
      <c r="E25" s="710">
        <v>0.02</v>
      </c>
      <c r="F25" s="1847" t="s">
        <v>1679</v>
      </c>
      <c r="I25" s="1848"/>
      <c r="AE25" s="1232"/>
      <c r="AF25" s="1232"/>
      <c r="AG25" s="1232"/>
      <c r="AH25" s="1232"/>
      <c r="AI25" s="1232"/>
      <c r="AJ25" s="1232"/>
      <c r="AK25" s="1232"/>
      <c r="AL25" s="1232"/>
      <c r="AM25" s="1232"/>
      <c r="AN25" s="1232"/>
      <c r="AO25" s="1232"/>
    </row>
    <row r="26" spans="1:41" ht="15.75" thickBot="1">
      <c r="A26" s="2099" t="s">
        <v>1680</v>
      </c>
      <c r="B26" s="1089">
        <v>2002</v>
      </c>
      <c r="C26" s="1850"/>
      <c r="D26" s="2085" t="s">
        <v>1681</v>
      </c>
      <c r="E26" s="40">
        <v>0.02</v>
      </c>
      <c r="F26" s="1847" t="s">
        <v>1679</v>
      </c>
      <c r="G26" s="2068"/>
      <c r="H26" s="2068"/>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5" t="s">
        <v>1682</v>
      </c>
      <c r="E27" s="352">
        <f ca="1">存贷款利率!G1</f>
        <v>4.7500000000000001E-2</v>
      </c>
      <c r="F27" s="1847" t="s">
        <v>1683</v>
      </c>
      <c r="G27" s="2068"/>
      <c r="H27" s="2068"/>
      <c r="K27" s="1850"/>
      <c r="N27" s="1850"/>
      <c r="AE27" s="1232"/>
      <c r="AF27" s="1232"/>
      <c r="AG27" s="1232"/>
      <c r="AH27" s="1232"/>
      <c r="AI27" s="1232"/>
      <c r="AJ27" s="1232"/>
      <c r="AK27" s="1232"/>
      <c r="AL27" s="1232"/>
      <c r="AM27" s="1232"/>
      <c r="AN27" s="1232"/>
      <c r="AO27" s="1232"/>
    </row>
    <row r="28" spans="1:41" ht="15" thickBot="1">
      <c r="A28" s="2100" t="s">
        <v>1684</v>
      </c>
      <c r="B28" s="2101" t="s">
        <v>2912</v>
      </c>
      <c r="C28" s="1232"/>
      <c r="D28" s="2102" t="s">
        <v>1685</v>
      </c>
      <c r="E28" s="984">
        <v>0.15</v>
      </c>
      <c r="G28" s="2068"/>
      <c r="H28" s="2068"/>
      <c r="K28" s="1850"/>
      <c r="N28" s="1850"/>
      <c r="AE28" s="1232"/>
      <c r="AF28" s="1232"/>
      <c r="AG28" s="1232"/>
      <c r="AH28" s="1232"/>
      <c r="AI28" s="1232"/>
      <c r="AJ28" s="1232"/>
      <c r="AK28" s="1232"/>
      <c r="AL28" s="1232"/>
      <c r="AM28" s="1232"/>
      <c r="AN28" s="1232"/>
      <c r="AO28" s="1232"/>
    </row>
    <row r="29" spans="1:41" ht="14.25">
      <c r="A29" s="2083" t="str">
        <f>IF(B28="租赁期内按合同租金","合同租金","市场租金")</f>
        <v>市场租金</v>
      </c>
      <c r="B29" s="29">
        <v>33000</v>
      </c>
      <c r="C29" s="1232"/>
      <c r="D29" s="2089" t="s">
        <v>1686</v>
      </c>
      <c r="E29" s="983">
        <f>E30+E31</f>
        <v>5.6000000000000001E-2</v>
      </c>
      <c r="F29" s="1844"/>
      <c r="G29" s="2068"/>
      <c r="H29" s="2068"/>
      <c r="K29" s="1850"/>
      <c r="N29" s="1850"/>
      <c r="AE29" s="1232"/>
      <c r="AF29" s="1232"/>
      <c r="AG29" s="1232"/>
      <c r="AH29" s="1232"/>
      <c r="AI29" s="1232"/>
      <c r="AJ29" s="1232"/>
      <c r="AK29" s="1232"/>
      <c r="AL29" s="1232"/>
      <c r="AM29" s="1232"/>
      <c r="AN29" s="1232"/>
      <c r="AO29" s="1232"/>
    </row>
    <row r="30" spans="1:41" ht="14.25">
      <c r="A30" s="2083" t="s">
        <v>1687</v>
      </c>
      <c r="B30" s="1414">
        <f ca="1">存贷款利率!I1</f>
        <v>1.4999999999999999E-2</v>
      </c>
      <c r="C30" s="1232"/>
      <c r="D30" s="2103" t="s">
        <v>1688</v>
      </c>
      <c r="E30" s="41">
        <v>0.05</v>
      </c>
      <c r="F30" s="1855">
        <f>IF(B2&lt;DATE(2016,5,1),0,E30)</f>
        <v>0.05</v>
      </c>
      <c r="G30" s="2068"/>
      <c r="H30" s="2068"/>
      <c r="K30" s="1850"/>
      <c r="N30" s="1850"/>
      <c r="AE30" s="1232"/>
      <c r="AF30" s="1232"/>
      <c r="AG30" s="1232"/>
      <c r="AH30" s="1232"/>
      <c r="AI30" s="1232"/>
      <c r="AJ30" s="1232"/>
      <c r="AK30" s="1232"/>
      <c r="AL30" s="1232"/>
      <c r="AM30" s="1232"/>
      <c r="AN30" s="1232"/>
      <c r="AO30" s="1232"/>
    </row>
    <row r="31" spans="1:41" ht="14.25">
      <c r="A31" s="2083" t="s">
        <v>1689</v>
      </c>
      <c r="B31" s="30">
        <v>0.03</v>
      </c>
      <c r="C31" s="1232"/>
      <c r="D31" s="2103" t="s">
        <v>1690</v>
      </c>
      <c r="E31" s="42">
        <f>E30*(E32+E33+E34)+E35</f>
        <v>6.000000000000001E-3</v>
      </c>
      <c r="F31" s="1844"/>
      <c r="G31" s="2068"/>
      <c r="H31" s="2068"/>
      <c r="K31" s="1850"/>
      <c r="N31" s="1850"/>
      <c r="AE31" s="1232"/>
      <c r="AF31" s="1232"/>
      <c r="AG31" s="1232"/>
      <c r="AH31" s="1232"/>
      <c r="AI31" s="1232"/>
      <c r="AJ31" s="1232"/>
      <c r="AK31" s="1232"/>
      <c r="AL31" s="1232"/>
      <c r="AM31" s="1232"/>
      <c r="AN31" s="1232"/>
      <c r="AO31" s="1232"/>
    </row>
    <row r="32" spans="1:41" ht="14.25">
      <c r="A32" s="2083" t="s">
        <v>1691</v>
      </c>
      <c r="B32" s="30">
        <v>0.1</v>
      </c>
      <c r="C32" s="1232"/>
      <c r="D32" s="2104" t="s">
        <v>1692</v>
      </c>
      <c r="E32" s="43">
        <v>7.0000000000000007E-2</v>
      </c>
      <c r="F32" s="1842" t="s">
        <v>1693</v>
      </c>
      <c r="G32" s="2068"/>
      <c r="H32" s="2068"/>
      <c r="K32" s="1850"/>
      <c r="L32" s="1850"/>
      <c r="M32" s="1850"/>
      <c r="N32" s="1850"/>
      <c r="AE32" s="1232"/>
      <c r="AF32" s="1232"/>
      <c r="AG32" s="1232"/>
      <c r="AH32" s="1232"/>
      <c r="AI32" s="1232"/>
      <c r="AJ32" s="1232"/>
      <c r="AK32" s="1232"/>
      <c r="AL32" s="1232"/>
      <c r="AM32" s="1232"/>
      <c r="AN32" s="1232"/>
      <c r="AO32" s="1232"/>
    </row>
    <row r="33" spans="1:41" ht="14.25">
      <c r="A33" s="2083" t="s">
        <v>1694</v>
      </c>
      <c r="B33" s="1375">
        <f>收益法!J54</f>
        <v>51.19</v>
      </c>
      <c r="C33" s="1232"/>
      <c r="D33" s="2104" t="s">
        <v>1695</v>
      </c>
      <c r="E33" s="41">
        <v>0.03</v>
      </c>
      <c r="F33" s="1841" t="s">
        <v>1696</v>
      </c>
      <c r="G33" s="2068"/>
      <c r="H33" s="2068"/>
      <c r="K33" s="1850"/>
      <c r="L33" s="1850"/>
      <c r="M33" s="1850"/>
      <c r="N33" s="1850"/>
      <c r="AE33" s="1232"/>
      <c r="AF33" s="1232"/>
      <c r="AG33" s="1232"/>
      <c r="AH33" s="1232"/>
      <c r="AI33" s="1232"/>
      <c r="AJ33" s="1232"/>
      <c r="AK33" s="1232"/>
      <c r="AL33" s="1232"/>
      <c r="AM33" s="1232"/>
      <c r="AN33" s="1232"/>
      <c r="AO33" s="1232"/>
    </row>
    <row r="34" spans="1:41" s="2106" customFormat="1" ht="15" thickBot="1">
      <c r="A34" s="2103" t="str">
        <f>IF(B28="租赁期内按合同租金","剩余租赁期","——")</f>
        <v>——</v>
      </c>
      <c r="B34" s="993"/>
      <c r="C34" s="1232"/>
      <c r="D34" s="2104" t="s">
        <v>1697</v>
      </c>
      <c r="E34" s="41">
        <v>0.02</v>
      </c>
      <c r="F34" s="1841" t="s">
        <v>1698</v>
      </c>
      <c r="G34" s="2105"/>
      <c r="H34" s="2105"/>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6" customFormat="1" ht="15.75" thickBot="1">
      <c r="A35" s="2107" t="s">
        <v>1699</v>
      </c>
      <c r="B35" s="989"/>
      <c r="C35" s="1232"/>
      <c r="D35" s="2108" t="s">
        <v>1700</v>
      </c>
      <c r="E35" s="44"/>
      <c r="F35" s="1849" t="s">
        <v>1701</v>
      </c>
      <c r="G35" s="2105"/>
      <c r="H35" s="2105"/>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6" customFormat="1" ht="14.25">
      <c r="A36" s="2109" t="str">
        <f>IF(B28="租赁期内按合同租金","租金","——")</f>
        <v>——</v>
      </c>
      <c r="B36" s="994"/>
      <c r="C36" s="1232"/>
      <c r="D36" s="2110" t="s">
        <v>1702</v>
      </c>
      <c r="E36" s="45">
        <v>0.03</v>
      </c>
      <c r="F36" s="1845" t="s">
        <v>1703</v>
      </c>
      <c r="G36" s="2105"/>
      <c r="H36" s="2105"/>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6" customFormat="1" ht="15" thickBot="1">
      <c r="A37" s="2083" t="str">
        <f>IF(B28="租赁期内按合同租金","年租金增长率","——")</f>
        <v>——</v>
      </c>
      <c r="B37" s="30"/>
      <c r="C37" s="1232"/>
      <c r="D37" s="2090" t="s">
        <v>1704</v>
      </c>
      <c r="E37" s="41">
        <v>5.0000000000000001E-4</v>
      </c>
      <c r="F37" s="1845" t="s">
        <v>1705</v>
      </c>
      <c r="G37" s="2068"/>
      <c r="H37" s="2068"/>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6" customFormat="1" ht="14.25">
      <c r="A38" s="2083" t="str">
        <f>IF(B28="租赁期内按合同租金","空置率","——")</f>
        <v>——</v>
      </c>
      <c r="B38" s="30"/>
      <c r="C38" s="1232"/>
      <c r="D38" s="2111" t="s">
        <v>1706</v>
      </c>
      <c r="E38" s="46">
        <v>1.2E-2</v>
      </c>
      <c r="F38" s="1843"/>
      <c r="G38" s="1848"/>
      <c r="H38" s="1848"/>
      <c r="I38" s="2068"/>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6" customFormat="1" ht="15" thickBot="1">
      <c r="A39" s="2083" t="str">
        <f>IF(B28="租赁期内按合同租金","成新率","——")</f>
        <v>——</v>
      </c>
      <c r="B39" s="30"/>
      <c r="C39" s="1232"/>
      <c r="D39" s="2088" t="s">
        <v>1707</v>
      </c>
      <c r="E39" s="47">
        <v>0.12</v>
      </c>
      <c r="F39" s="1843"/>
      <c r="G39" s="2105"/>
      <c r="H39" s="2105"/>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3" t="str">
        <f>IF(B28="租赁期内按合同租金","租赁期外收益期","——")</f>
        <v>——</v>
      </c>
      <c r="B40" s="1188" t="str">
        <f>IF(B28="租赁期内按合同租金",B33-B34,"——")</f>
        <v>——</v>
      </c>
      <c r="C40" s="1232"/>
      <c r="D40" s="2111" t="s">
        <v>1708</v>
      </c>
      <c r="E40" s="48">
        <f>SUMIF(D42:D51,E41,E42:E51)</f>
        <v>0</v>
      </c>
      <c r="F40" s="1843"/>
      <c r="G40" s="2068"/>
      <c r="H40" s="2068"/>
      <c r="I40" s="1850"/>
      <c r="J40" s="1850"/>
      <c r="K40" s="1850"/>
      <c r="L40" s="1850"/>
      <c r="M40" s="1850"/>
      <c r="N40" s="1850"/>
      <c r="AE40" s="1232"/>
      <c r="AF40" s="1232"/>
      <c r="AG40" s="1232"/>
      <c r="AH40" s="1232"/>
      <c r="AI40" s="1232"/>
      <c r="AJ40" s="1232"/>
      <c r="AK40" s="1232"/>
      <c r="AL40" s="1232"/>
      <c r="AM40" s="1232"/>
      <c r="AN40" s="1232"/>
      <c r="AO40" s="1232"/>
    </row>
    <row r="41" spans="1:41" ht="14.25">
      <c r="A41" s="2112" t="s">
        <v>1709</v>
      </c>
      <c r="B41" s="995">
        <v>1</v>
      </c>
      <c r="C41" s="1232"/>
      <c r="D41" s="2085" t="s">
        <v>1710</v>
      </c>
      <c r="E41" s="2113" t="s">
        <v>70</v>
      </c>
      <c r="F41" s="1843" t="s">
        <v>1711</v>
      </c>
      <c r="G41" s="2114" t="s">
        <v>1712</v>
      </c>
      <c r="H41" s="2068"/>
      <c r="I41" s="1850"/>
      <c r="J41" s="1850"/>
      <c r="K41" s="1850"/>
      <c r="L41" s="1850"/>
      <c r="M41" s="1850"/>
      <c r="N41" s="1850"/>
      <c r="AE41" s="1232"/>
      <c r="AF41" s="1232"/>
      <c r="AG41" s="1232"/>
      <c r="AH41" s="1232"/>
      <c r="AI41" s="1232"/>
      <c r="AJ41" s="1232"/>
      <c r="AK41" s="1232"/>
      <c r="AL41" s="1232"/>
      <c r="AM41" s="1232"/>
      <c r="AN41" s="1232"/>
      <c r="AO41" s="1232"/>
    </row>
    <row r="42" spans="1:41" ht="14.25">
      <c r="A42" s="2083" t="s">
        <v>1713</v>
      </c>
      <c r="B42" s="988">
        <v>12</v>
      </c>
      <c r="C42" s="1232"/>
      <c r="D42" s="2115" t="s">
        <v>1714</v>
      </c>
      <c r="E42" s="29"/>
      <c r="F42" s="1843">
        <v>30</v>
      </c>
      <c r="G42" s="2068"/>
      <c r="H42" s="2068"/>
      <c r="I42" s="1850"/>
      <c r="J42" s="1850"/>
      <c r="K42" s="1850"/>
      <c r="L42" s="1850"/>
      <c r="M42" s="1850"/>
      <c r="N42" s="1850"/>
      <c r="AE42" s="1232"/>
      <c r="AF42" s="1232"/>
      <c r="AG42" s="1232"/>
      <c r="AH42" s="1232"/>
      <c r="AI42" s="1232"/>
      <c r="AJ42" s="1232"/>
      <c r="AK42" s="1232"/>
      <c r="AL42" s="1232"/>
      <c r="AM42" s="1232"/>
      <c r="AN42" s="1232"/>
      <c r="AO42" s="1232"/>
    </row>
    <row r="43" spans="1:41" ht="14.25">
      <c r="A43" s="2083" t="s">
        <v>1715</v>
      </c>
      <c r="B43" s="29"/>
      <c r="C43" s="1232"/>
      <c r="D43" s="2115" t="s">
        <v>1716</v>
      </c>
      <c r="E43" s="29"/>
      <c r="F43" s="1843">
        <v>24</v>
      </c>
      <c r="G43" s="2068"/>
      <c r="H43" s="2068"/>
      <c r="I43" s="1850"/>
      <c r="J43" s="1850"/>
      <c r="K43" s="1850"/>
      <c r="L43" s="1850"/>
      <c r="M43" s="1850"/>
      <c r="N43" s="1850"/>
      <c r="AE43" s="1232"/>
      <c r="AF43" s="1232"/>
      <c r="AG43" s="1232"/>
      <c r="AH43" s="1232"/>
      <c r="AI43" s="1232"/>
      <c r="AJ43" s="1232"/>
      <c r="AK43" s="1232"/>
      <c r="AL43" s="1232"/>
      <c r="AM43" s="1232"/>
      <c r="AN43" s="1232"/>
      <c r="AO43" s="1232"/>
    </row>
    <row r="44" spans="1:41" ht="14.25">
      <c r="A44" s="2083" t="s">
        <v>1717</v>
      </c>
      <c r="B44" s="996">
        <v>1.4999999999999999E-2</v>
      </c>
      <c r="C44" s="1232" t="s">
        <v>965</v>
      </c>
      <c r="D44" s="2115" t="s">
        <v>1718</v>
      </c>
      <c r="E44" s="29"/>
      <c r="F44" s="1843">
        <v>18</v>
      </c>
      <c r="G44" s="1232"/>
      <c r="H44" s="1232"/>
      <c r="I44" s="2068"/>
      <c r="J44" s="1850"/>
      <c r="K44" s="1850"/>
      <c r="L44" s="1850"/>
      <c r="M44" s="1850"/>
      <c r="N44" s="1850"/>
      <c r="AE44" s="1232"/>
      <c r="AF44" s="1232"/>
      <c r="AG44" s="1232"/>
      <c r="AH44" s="1232"/>
      <c r="AI44" s="1232"/>
      <c r="AJ44" s="1232"/>
      <c r="AK44" s="1232"/>
      <c r="AL44" s="1232"/>
      <c r="AM44" s="1232"/>
      <c r="AN44" s="1232"/>
      <c r="AO44" s="1232"/>
    </row>
    <row r="45" spans="1:41" ht="14.25">
      <c r="A45" s="2083" t="s">
        <v>1719</v>
      </c>
      <c r="B45" s="997">
        <v>1.5E-3</v>
      </c>
      <c r="C45" s="1232" t="s">
        <v>966</v>
      </c>
      <c r="D45" s="2115" t="s">
        <v>1720</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2" t="s">
        <v>1721</v>
      </c>
      <c r="B46" s="998">
        <v>0.01</v>
      </c>
      <c r="C46" s="1232" t="s">
        <v>967</v>
      </c>
      <c r="D46" s="2115" t="s">
        <v>1466</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5" t="s">
        <v>1722</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5" t="s">
        <v>1723</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5" t="s">
        <v>1724</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5" t="s">
        <v>1725</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6" t="s">
        <v>1726</v>
      </c>
      <c r="E51" s="49"/>
      <c r="F51" s="1850"/>
      <c r="M51" s="1850"/>
      <c r="N51" s="1850"/>
      <c r="O51" s="84"/>
      <c r="P51" s="84"/>
    </row>
    <row r="52" spans="1:41" s="1232" customFormat="1" ht="14.25">
      <c r="D52" s="2068"/>
      <c r="E52" s="2068"/>
      <c r="F52" s="2068"/>
      <c r="G52" s="2068"/>
      <c r="H52" s="2068"/>
      <c r="I52" s="1850"/>
      <c r="J52" s="1850"/>
      <c r="K52" s="1850"/>
      <c r="L52" s="1850"/>
      <c r="M52" s="1850"/>
      <c r="N52" s="1850"/>
      <c r="O52" s="84"/>
      <c r="P52" s="84"/>
    </row>
    <row r="53" spans="1:41" s="1232" customFormat="1" ht="14.25">
      <c r="D53" s="2068"/>
      <c r="E53" s="2068"/>
      <c r="F53" s="2068"/>
      <c r="G53" s="2068"/>
      <c r="H53" s="2068"/>
      <c r="I53" s="1850"/>
      <c r="J53" s="1850"/>
      <c r="K53" s="1850"/>
      <c r="L53" s="1850"/>
      <c r="M53" s="1850"/>
      <c r="N53" s="1850"/>
      <c r="O53" s="84"/>
      <c r="P53" s="84"/>
    </row>
    <row r="54" spans="1:41" s="1232" customFormat="1" ht="14.25">
      <c r="D54" s="2068"/>
      <c r="E54" s="2068"/>
      <c r="F54" s="2068"/>
      <c r="G54" s="2068"/>
      <c r="H54" s="2068"/>
      <c r="I54" s="1850"/>
      <c r="J54" s="1850"/>
      <c r="K54" s="1850"/>
      <c r="L54" s="1850"/>
      <c r="M54" s="1850"/>
      <c r="N54" s="1850"/>
      <c r="O54" s="84"/>
      <c r="P54" s="84"/>
    </row>
    <row r="55" spans="1:41" s="1232" customFormat="1" ht="14.25">
      <c r="D55" s="2068"/>
      <c r="E55" s="2068"/>
      <c r="F55" s="2068"/>
      <c r="G55" s="2068"/>
      <c r="H55" s="2068"/>
      <c r="I55" s="1850"/>
      <c r="J55" s="1850"/>
      <c r="K55" s="1850"/>
      <c r="L55" s="1850"/>
      <c r="M55" s="1850"/>
      <c r="N55" s="1850"/>
      <c r="O55" s="84"/>
      <c r="P55" s="84"/>
    </row>
    <row r="56" spans="1:41" s="1232" customFormat="1" ht="14.25">
      <c r="D56" s="2068"/>
      <c r="E56" s="2068"/>
      <c r="F56" s="2068"/>
      <c r="G56" s="2068"/>
      <c r="H56" s="2068"/>
      <c r="I56" s="1850"/>
      <c r="J56" s="1850"/>
      <c r="K56" s="1850"/>
      <c r="L56" s="1850"/>
      <c r="M56" s="1850"/>
      <c r="N56" s="1850"/>
      <c r="O56" s="84"/>
      <c r="P56" s="84"/>
    </row>
    <row r="57" spans="1:41" s="1232" customFormat="1" ht="14.25">
      <c r="D57" s="2068"/>
      <c r="E57" s="2068"/>
      <c r="F57" s="2068"/>
      <c r="G57" s="2068"/>
      <c r="H57" s="2068"/>
      <c r="I57" s="1850"/>
      <c r="J57" s="1850"/>
      <c r="K57" s="1850"/>
      <c r="L57" s="1850"/>
      <c r="M57" s="1850"/>
      <c r="N57" s="1850"/>
      <c r="O57" s="84"/>
      <c r="P57" s="84"/>
    </row>
    <row r="58" spans="1:41" s="1232" customFormat="1" ht="14.25">
      <c r="D58" s="2068"/>
      <c r="E58" s="2068"/>
      <c r="F58" s="2068"/>
      <c r="G58" s="2068"/>
      <c r="H58" s="2068"/>
      <c r="I58" s="1850"/>
      <c r="J58" s="1850"/>
      <c r="K58" s="1850"/>
      <c r="L58" s="1850"/>
      <c r="M58" s="1850"/>
      <c r="N58" s="1850"/>
      <c r="O58" s="84"/>
      <c r="P58" s="84"/>
    </row>
    <row r="59" spans="1:41" s="1232" customFormat="1" ht="14.25">
      <c r="D59" s="2068"/>
      <c r="E59" s="2068"/>
      <c r="F59" s="2068"/>
      <c r="G59" s="2068"/>
      <c r="H59" s="2068"/>
      <c r="I59" s="1850"/>
      <c r="J59" s="1850"/>
      <c r="K59" s="1850"/>
      <c r="L59" s="1850"/>
      <c r="M59" s="2117"/>
      <c r="N59" s="1850"/>
      <c r="O59" s="84"/>
      <c r="P59" s="84"/>
    </row>
    <row r="60" spans="1:41" s="1232" customFormat="1" ht="14.25">
      <c r="D60" s="2068"/>
      <c r="E60" s="2068"/>
      <c r="F60" s="2068"/>
      <c r="G60" s="2068"/>
      <c r="H60" s="2068"/>
      <c r="I60" s="1850"/>
      <c r="J60" s="1850"/>
      <c r="K60" s="1850"/>
      <c r="L60" s="1850"/>
      <c r="M60" s="1850"/>
      <c r="N60" s="1850"/>
      <c r="O60" s="84"/>
      <c r="P60" s="84"/>
    </row>
    <row r="61" spans="1:41" s="1232" customFormat="1" ht="14.25">
      <c r="D61" s="2068"/>
      <c r="E61" s="2068"/>
      <c r="F61" s="2068"/>
      <c r="G61" s="2068"/>
      <c r="H61" s="2068"/>
      <c r="I61" s="1850"/>
      <c r="J61" s="1850"/>
      <c r="K61" s="1850"/>
      <c r="L61" s="1850"/>
      <c r="M61" s="1850"/>
      <c r="N61" s="1850"/>
      <c r="O61" s="84"/>
      <c r="P61" s="84"/>
    </row>
    <row r="62" spans="1:41" s="1232" customFormat="1" ht="14.25">
      <c r="D62" s="2068"/>
      <c r="E62" s="2068"/>
      <c r="F62" s="2068"/>
      <c r="G62" s="2068"/>
      <c r="H62" s="2068"/>
      <c r="I62" s="1850"/>
      <c r="J62" s="1850"/>
      <c r="K62" s="1850"/>
      <c r="L62" s="1850"/>
      <c r="M62" s="1850"/>
      <c r="N62" s="1850"/>
      <c r="O62" s="84"/>
      <c r="P62" s="84"/>
    </row>
    <row r="63" spans="1:41" s="1232" customFormat="1" ht="14.25">
      <c r="D63" s="2068"/>
      <c r="E63" s="2068"/>
      <c r="F63" s="2068"/>
      <c r="G63" s="2068"/>
      <c r="H63" s="2068"/>
      <c r="I63" s="1850"/>
      <c r="J63" s="1850"/>
      <c r="K63" s="1850"/>
      <c r="L63" s="1850"/>
      <c r="M63" s="1850"/>
      <c r="N63" s="1850"/>
      <c r="O63" s="84"/>
      <c r="P63" s="84"/>
    </row>
    <row r="64" spans="1:41" s="1232" customFormat="1" ht="14.25">
      <c r="D64" s="2068"/>
      <c r="E64" s="2068"/>
      <c r="F64" s="2068"/>
      <c r="G64" s="2068"/>
      <c r="H64" s="2068"/>
      <c r="I64" s="1850"/>
      <c r="J64" s="1850"/>
      <c r="K64" s="1850"/>
      <c r="L64" s="1850"/>
      <c r="M64" s="1850"/>
      <c r="N64" s="1850"/>
      <c r="O64" s="84"/>
      <c r="P64" s="84"/>
    </row>
    <row r="65" spans="1:16" s="1232" customFormat="1" ht="14.25">
      <c r="D65" s="2068"/>
      <c r="E65" s="2068"/>
      <c r="F65" s="2068"/>
      <c r="G65" s="2068"/>
      <c r="H65" s="2068"/>
      <c r="I65" s="1850"/>
      <c r="J65" s="1850"/>
      <c r="K65" s="1850"/>
      <c r="L65" s="1850"/>
      <c r="M65" s="1850"/>
      <c r="N65" s="1850"/>
      <c r="O65" s="84"/>
      <c r="P65" s="84"/>
    </row>
    <row r="66" spans="1:16" s="1232" customFormat="1" ht="14.25">
      <c r="A66" s="2118"/>
      <c r="D66" s="2068"/>
      <c r="E66" s="2068"/>
      <c r="F66" s="2068"/>
      <c r="G66" s="2068"/>
      <c r="H66" s="2068"/>
      <c r="I66" s="1850"/>
      <c r="J66" s="1850"/>
      <c r="K66" s="1850"/>
      <c r="L66" s="1850"/>
      <c r="M66" s="1850"/>
      <c r="N66" s="1850"/>
      <c r="O66" s="84"/>
      <c r="P66" s="84"/>
    </row>
    <row r="67" spans="1:16" s="1232" customFormat="1" ht="14.25">
      <c r="A67" s="2118"/>
      <c r="D67" s="2068"/>
      <c r="E67" s="2068"/>
      <c r="F67" s="2068"/>
      <c r="G67" s="2068"/>
      <c r="H67" s="2068"/>
      <c r="I67" s="1850"/>
      <c r="J67" s="1850"/>
      <c r="K67" s="1850"/>
      <c r="L67" s="1850"/>
      <c r="M67" s="1850"/>
      <c r="N67" s="1850"/>
      <c r="O67" s="84"/>
      <c r="P67" s="84"/>
    </row>
    <row r="68" spans="1:16" s="1232" customFormat="1" ht="14.25">
      <c r="A68" s="2118"/>
      <c r="D68" s="2068"/>
      <c r="E68" s="2068"/>
      <c r="F68" s="2068"/>
      <c r="G68" s="1848"/>
      <c r="H68" s="1848"/>
      <c r="O68" s="84"/>
      <c r="P68" s="84"/>
    </row>
    <row r="69" spans="1:16" s="1232" customFormat="1">
      <c r="A69" s="2118"/>
      <c r="D69" s="1848"/>
      <c r="E69" s="1848"/>
      <c r="F69" s="1848"/>
      <c r="G69" s="1848"/>
      <c r="H69" s="1848"/>
      <c r="O69" s="84"/>
      <c r="P69" s="84"/>
    </row>
    <row r="70" spans="1:16" s="1232" customFormat="1">
      <c r="A70" s="2118"/>
      <c r="D70" s="1848"/>
      <c r="E70" s="1848"/>
      <c r="F70" s="1848"/>
      <c r="G70" s="1848"/>
      <c r="H70" s="1848"/>
      <c r="O70" s="84"/>
      <c r="P70" s="84"/>
    </row>
    <row r="71" spans="1:16" s="1232" customFormat="1">
      <c r="A71" s="2118"/>
      <c r="D71" s="1848"/>
      <c r="E71" s="1848"/>
      <c r="F71" s="1848"/>
      <c r="G71" s="1848"/>
      <c r="H71" s="1848"/>
      <c r="O71" s="84"/>
      <c r="P71" s="84"/>
    </row>
    <row r="72" spans="1:16" s="1232" customFormat="1">
      <c r="A72" s="2118"/>
      <c r="D72" s="1848"/>
      <c r="E72" s="1848"/>
      <c r="F72" s="1848"/>
      <c r="G72" s="1848"/>
      <c r="H72" s="1848"/>
      <c r="O72" s="84"/>
      <c r="P72" s="84"/>
    </row>
    <row r="73" spans="1:16" s="1232" customFormat="1">
      <c r="A73" s="2118"/>
      <c r="D73" s="1848"/>
      <c r="E73" s="1848"/>
      <c r="F73" s="1848"/>
      <c r="G73" s="1848"/>
      <c r="H73" s="1848"/>
      <c r="O73" s="84"/>
      <c r="P73" s="84"/>
    </row>
    <row r="74" spans="1:16" s="1232" customFormat="1">
      <c r="A74" s="2118"/>
      <c r="D74" s="1848"/>
      <c r="E74" s="1848"/>
      <c r="F74" s="1848"/>
      <c r="G74" s="1848"/>
      <c r="H74" s="1848"/>
      <c r="O74" s="84"/>
      <c r="P74" s="84"/>
    </row>
    <row r="75" spans="1:16" s="1232" customFormat="1">
      <c r="A75" s="2118"/>
      <c r="D75" s="1848"/>
      <c r="E75" s="1848"/>
      <c r="F75" s="1848"/>
      <c r="G75" s="1848"/>
      <c r="H75" s="1848"/>
      <c r="O75" s="84"/>
      <c r="P75" s="84"/>
    </row>
    <row r="76" spans="1:16" s="1232" customFormat="1">
      <c r="A76" s="2118"/>
      <c r="D76" s="1848"/>
      <c r="E76" s="1848"/>
      <c r="F76" s="1848"/>
      <c r="G76" s="1848"/>
      <c r="H76" s="1848"/>
      <c r="O76" s="84"/>
      <c r="P76" s="84"/>
    </row>
    <row r="77" spans="1:16" s="1232" customFormat="1">
      <c r="A77" s="2118"/>
      <c r="D77" s="1848"/>
      <c r="E77" s="1848"/>
      <c r="F77" s="1848"/>
      <c r="G77" s="1848"/>
      <c r="H77" s="1848"/>
      <c r="O77" s="84"/>
      <c r="P77" s="84"/>
    </row>
    <row r="78" spans="1:16" s="1232" customFormat="1">
      <c r="A78" s="2118"/>
      <c r="D78" s="1848"/>
      <c r="E78" s="1848"/>
      <c r="F78" s="1848"/>
      <c r="G78" s="1848"/>
      <c r="H78" s="1848"/>
      <c r="O78" s="84"/>
      <c r="P78" s="84"/>
    </row>
    <row r="79" spans="1:16" s="1232" customFormat="1">
      <c r="A79" s="2118"/>
      <c r="D79" s="1848"/>
      <c r="E79" s="1848"/>
      <c r="F79" s="1848"/>
      <c r="G79" s="1848"/>
      <c r="H79" s="1848"/>
      <c r="O79" s="84"/>
      <c r="P79" s="84"/>
    </row>
    <row r="80" spans="1:16" s="1232" customFormat="1">
      <c r="A80" s="2118"/>
      <c r="D80" s="1848"/>
      <c r="E80" s="1848"/>
      <c r="F80" s="1848"/>
      <c r="G80" s="1848"/>
      <c r="H80" s="1848"/>
      <c r="O80" s="84"/>
      <c r="P80" s="84"/>
    </row>
    <row r="81" spans="1:16" s="1232" customFormat="1">
      <c r="A81" s="2118"/>
      <c r="D81" s="1848"/>
      <c r="E81" s="1848"/>
      <c r="F81" s="1848"/>
      <c r="G81" s="1848"/>
      <c r="H81" s="1848"/>
      <c r="O81" s="84"/>
      <c r="P81" s="84"/>
    </row>
    <row r="82" spans="1:16" s="1232" customFormat="1">
      <c r="A82" s="2118"/>
      <c r="D82" s="1848"/>
      <c r="E82" s="1848"/>
      <c r="F82" s="1848"/>
      <c r="G82" s="1848"/>
      <c r="H82" s="1848"/>
      <c r="O82" s="84"/>
      <c r="P82" s="84"/>
    </row>
    <row r="83" spans="1:16" s="1232" customFormat="1">
      <c r="A83" s="2118"/>
      <c r="D83" s="1848"/>
      <c r="E83" s="1848"/>
      <c r="F83" s="1848"/>
      <c r="G83" s="1848"/>
      <c r="H83" s="1848"/>
      <c r="O83" s="84"/>
      <c r="P83" s="84"/>
    </row>
    <row r="84" spans="1:16" s="1232" customFormat="1">
      <c r="A84" s="2118"/>
      <c r="D84" s="1848"/>
      <c r="E84" s="1848"/>
      <c r="F84" s="1848"/>
      <c r="G84" s="1848"/>
      <c r="H84" s="1848"/>
      <c r="O84" s="84"/>
      <c r="P84" s="84"/>
    </row>
    <row r="85" spans="1:16" s="1232" customFormat="1">
      <c r="A85" s="2118"/>
      <c r="D85" s="1848"/>
      <c r="E85" s="1848"/>
      <c r="F85" s="1848"/>
      <c r="G85" s="1848"/>
      <c r="H85" s="1848"/>
      <c r="O85" s="84"/>
      <c r="P85" s="84"/>
    </row>
    <row r="86" spans="1:16" s="1232" customFormat="1">
      <c r="A86" s="2118"/>
      <c r="D86" s="1848"/>
      <c r="E86" s="1848"/>
      <c r="F86" s="1848"/>
      <c r="G86" s="1848"/>
      <c r="H86" s="1848"/>
      <c r="O86" s="84"/>
      <c r="P86" s="84"/>
    </row>
    <row r="87" spans="1:16" s="1232" customFormat="1">
      <c r="A87" s="2118"/>
      <c r="D87" s="1848"/>
      <c r="E87" s="1848"/>
      <c r="F87" s="1848"/>
      <c r="G87" s="1848"/>
      <c r="H87" s="1848"/>
      <c r="O87" s="84"/>
      <c r="P87" s="84"/>
    </row>
    <row r="88" spans="1:16" s="1232" customFormat="1">
      <c r="A88" s="2118"/>
      <c r="D88" s="1848"/>
      <c r="E88" s="1848"/>
      <c r="F88" s="1848"/>
      <c r="G88" s="1848"/>
      <c r="H88" s="1848"/>
      <c r="O88" s="84"/>
      <c r="P88" s="84"/>
    </row>
    <row r="89" spans="1:16" s="1232" customFormat="1">
      <c r="A89" s="2118"/>
      <c r="D89" s="1848"/>
      <c r="E89" s="1848"/>
      <c r="F89" s="1848"/>
      <c r="G89" s="1848"/>
      <c r="H89" s="1848"/>
      <c r="O89" s="84"/>
      <c r="P89" s="84"/>
    </row>
    <row r="90" spans="1:16" s="1232" customFormat="1">
      <c r="A90" s="2118"/>
      <c r="D90" s="1848"/>
      <c r="E90" s="1848"/>
      <c r="F90" s="1848"/>
      <c r="G90" s="1848"/>
      <c r="H90" s="1848"/>
      <c r="O90" s="84"/>
      <c r="P90" s="84"/>
    </row>
    <row r="91" spans="1:16" s="1232" customFormat="1">
      <c r="A91" s="2118"/>
      <c r="D91" s="1848"/>
      <c r="E91" s="1848"/>
      <c r="F91" s="1848"/>
      <c r="G91" s="1848"/>
      <c r="H91" s="1848"/>
      <c r="O91" s="84"/>
      <c r="P91" s="84"/>
    </row>
    <row r="92" spans="1:16" s="1232" customFormat="1">
      <c r="A92" s="2118"/>
      <c r="D92" s="1848"/>
      <c r="E92" s="1848"/>
      <c r="F92" s="1848"/>
      <c r="G92" s="1848"/>
      <c r="H92" s="1848"/>
      <c r="O92" s="84"/>
      <c r="P92" s="84"/>
    </row>
    <row r="93" spans="1:16" s="1232" customFormat="1">
      <c r="A93" s="2118"/>
      <c r="D93" s="1848"/>
      <c r="E93" s="1848"/>
      <c r="F93" s="1848"/>
      <c r="G93" s="1848"/>
      <c r="H93" s="1848"/>
      <c r="O93" s="84"/>
      <c r="P93" s="84"/>
    </row>
    <row r="94" spans="1:16" s="1232" customFormat="1">
      <c r="A94" s="2118"/>
      <c r="D94" s="1848"/>
      <c r="E94" s="1848"/>
      <c r="F94" s="1848"/>
      <c r="G94" s="1848"/>
      <c r="H94" s="1848"/>
      <c r="O94" s="84"/>
      <c r="P94" s="84"/>
    </row>
    <row r="95" spans="1:16" s="1232" customFormat="1">
      <c r="A95" s="2118"/>
      <c r="D95" s="1848"/>
      <c r="E95" s="1848"/>
      <c r="F95" s="1848"/>
      <c r="G95" s="1848"/>
      <c r="H95" s="1848"/>
      <c r="O95" s="84"/>
      <c r="P95" s="84"/>
    </row>
    <row r="96" spans="1:16" s="1232" customFormat="1">
      <c r="A96" s="2118"/>
      <c r="D96" s="1848"/>
      <c r="E96" s="1848"/>
      <c r="F96" s="1848"/>
      <c r="G96" s="1848"/>
      <c r="H96" s="1848"/>
      <c r="O96" s="84"/>
      <c r="P96" s="84"/>
    </row>
    <row r="97" spans="1:16" s="1232" customFormat="1">
      <c r="A97" s="2118"/>
      <c r="D97" s="1848"/>
      <c r="E97" s="1848"/>
      <c r="F97" s="1848"/>
      <c r="G97" s="1848"/>
      <c r="H97" s="1848"/>
      <c r="O97" s="84"/>
      <c r="P97" s="84"/>
    </row>
    <row r="98" spans="1:16" s="1232" customFormat="1">
      <c r="A98" s="2118"/>
      <c r="D98" s="1848"/>
      <c r="E98" s="1848"/>
      <c r="F98" s="1848"/>
      <c r="G98" s="1848"/>
      <c r="H98" s="1848"/>
      <c r="O98" s="84"/>
      <c r="P98" s="84"/>
    </row>
    <row r="99" spans="1:16" s="1232" customFormat="1">
      <c r="A99" s="2118"/>
      <c r="D99" s="1848"/>
      <c r="E99" s="1848"/>
      <c r="F99" s="1848"/>
      <c r="G99" s="1848"/>
      <c r="H99" s="1848"/>
      <c r="O99" s="84"/>
      <c r="P99" s="84"/>
    </row>
    <row r="100" spans="1:16" s="1232" customFormat="1">
      <c r="A100" s="2118"/>
      <c r="D100" s="1848"/>
      <c r="E100" s="1848"/>
      <c r="F100" s="1848"/>
      <c r="G100" s="1848"/>
      <c r="H100" s="1848"/>
      <c r="O100" s="84"/>
      <c r="P100" s="84"/>
    </row>
    <row r="101" spans="1:16" s="1232" customFormat="1">
      <c r="A101" s="2118"/>
      <c r="D101" s="1848"/>
      <c r="E101" s="1848"/>
      <c r="F101" s="1848"/>
      <c r="G101" s="1848"/>
      <c r="H101" s="1848"/>
      <c r="O101" s="84"/>
      <c r="P101" s="84"/>
    </row>
    <row r="102" spans="1:16" s="1232" customFormat="1">
      <c r="A102" s="2118"/>
      <c r="D102" s="1848"/>
      <c r="E102" s="1848"/>
      <c r="F102" s="1848"/>
      <c r="G102" s="1848"/>
      <c r="H102" s="1848"/>
      <c r="O102" s="84"/>
      <c r="P102" s="84"/>
    </row>
    <row r="103" spans="1:16" s="1232" customFormat="1">
      <c r="A103" s="2118"/>
      <c r="D103" s="1848"/>
      <c r="E103" s="1848"/>
      <c r="F103" s="1848"/>
      <c r="G103" s="1848"/>
      <c r="H103" s="1848"/>
      <c r="O103" s="84"/>
      <c r="P103" s="84"/>
    </row>
    <row r="104" spans="1:16" s="1232" customFormat="1">
      <c r="A104" s="2118"/>
      <c r="D104" s="1848"/>
      <c r="E104" s="1848"/>
      <c r="F104" s="1848"/>
      <c r="G104" s="1848"/>
      <c r="H104" s="1848"/>
      <c r="O104" s="84"/>
      <c r="P104" s="84"/>
    </row>
    <row r="105" spans="1:16" s="1232" customFormat="1">
      <c r="A105" s="2118"/>
      <c r="D105" s="1848"/>
      <c r="E105" s="1848"/>
      <c r="F105" s="1848"/>
      <c r="G105" s="1848"/>
      <c r="H105" s="1848"/>
      <c r="O105" s="84"/>
      <c r="P105" s="84"/>
    </row>
    <row r="106" spans="1:16" s="1232" customFormat="1">
      <c r="A106" s="2118"/>
      <c r="D106" s="1848"/>
      <c r="E106" s="1848"/>
      <c r="F106" s="1848"/>
      <c r="G106" s="1848"/>
      <c r="H106" s="1848"/>
      <c r="O106" s="84"/>
      <c r="P106" s="84"/>
    </row>
    <row r="107" spans="1:16" s="1232" customFormat="1">
      <c r="A107" s="2118"/>
      <c r="D107" s="1848"/>
      <c r="E107" s="1848"/>
      <c r="F107" s="1848"/>
      <c r="G107" s="1848"/>
      <c r="H107" s="1848"/>
      <c r="O107" s="84"/>
      <c r="P107" s="84"/>
    </row>
    <row r="108" spans="1:16" s="1232" customFormat="1">
      <c r="A108" s="2118"/>
      <c r="D108" s="1848"/>
      <c r="E108" s="1848"/>
      <c r="F108" s="1848"/>
      <c r="G108" s="1848"/>
      <c r="H108" s="1848"/>
      <c r="O108" s="84"/>
      <c r="P108" s="84"/>
    </row>
    <row r="109" spans="1:16" s="1232" customFormat="1">
      <c r="A109" s="2118"/>
      <c r="D109" s="1848"/>
      <c r="E109" s="1848"/>
      <c r="F109" s="1848"/>
      <c r="G109" s="1848"/>
      <c r="H109" s="1848"/>
      <c r="O109" s="84"/>
      <c r="P109" s="84"/>
    </row>
    <row r="110" spans="1:16" s="1232" customFormat="1">
      <c r="A110" s="2118"/>
      <c r="D110" s="1848"/>
      <c r="E110" s="1848"/>
      <c r="F110" s="1848"/>
      <c r="G110" s="1848"/>
      <c r="H110" s="1848"/>
      <c r="O110" s="84"/>
      <c r="P110" s="84"/>
    </row>
    <row r="111" spans="1:16" s="1232" customFormat="1">
      <c r="A111" s="2118"/>
      <c r="D111" s="1848"/>
      <c r="E111" s="1848"/>
      <c r="F111" s="1848"/>
      <c r="G111" s="1848"/>
      <c r="H111" s="1848"/>
      <c r="O111" s="84"/>
      <c r="P111" s="84"/>
    </row>
    <row r="112" spans="1:16" s="1232" customFormat="1">
      <c r="A112" s="2118"/>
      <c r="D112" s="1848"/>
      <c r="E112" s="1848"/>
      <c r="F112" s="1848"/>
      <c r="G112" s="1848"/>
      <c r="H112" s="1848"/>
      <c r="O112" s="84"/>
      <c r="P112" s="84"/>
    </row>
    <row r="113" spans="1:16" s="1232" customFormat="1">
      <c r="A113" s="2118"/>
      <c r="D113" s="1848"/>
      <c r="E113" s="1848"/>
      <c r="F113" s="1848"/>
      <c r="G113" s="1848"/>
      <c r="H113" s="1848"/>
      <c r="O113" s="84"/>
      <c r="P113" s="84"/>
    </row>
    <row r="114" spans="1:16" s="1232" customFormat="1">
      <c r="A114" s="2118"/>
      <c r="D114" s="1848"/>
      <c r="E114" s="1848"/>
      <c r="F114" s="1848"/>
      <c r="G114" s="1848"/>
      <c r="H114" s="1848"/>
      <c r="O114" s="84"/>
      <c r="P114" s="84"/>
    </row>
    <row r="115" spans="1:16" s="1232" customFormat="1">
      <c r="A115" s="2118"/>
      <c r="D115" s="1848"/>
      <c r="E115" s="1848"/>
      <c r="F115" s="1848"/>
      <c r="G115" s="1848"/>
      <c r="H115" s="1848"/>
      <c r="O115" s="84"/>
      <c r="P115" s="84"/>
    </row>
    <row r="116" spans="1:16" s="1232" customFormat="1">
      <c r="A116" s="2118"/>
      <c r="D116" s="1848"/>
      <c r="E116" s="1848"/>
      <c r="F116" s="1848"/>
      <c r="G116" s="1848"/>
      <c r="H116" s="1848"/>
      <c r="O116" s="84"/>
      <c r="P116" s="84"/>
    </row>
    <row r="117" spans="1:16" s="1232" customFormat="1">
      <c r="A117" s="2118"/>
      <c r="D117" s="1848"/>
      <c r="E117" s="1848"/>
      <c r="F117" s="1848"/>
      <c r="G117" s="1848"/>
      <c r="H117" s="1848"/>
      <c r="O117" s="84"/>
      <c r="P117" s="84"/>
    </row>
    <row r="118" spans="1:16" s="1232" customFormat="1">
      <c r="A118" s="2118"/>
      <c r="D118" s="1848"/>
      <c r="E118" s="1848"/>
      <c r="F118" s="1848"/>
      <c r="G118" s="1848"/>
      <c r="H118" s="1848"/>
      <c r="O118" s="84"/>
      <c r="P118" s="84"/>
    </row>
    <row r="119" spans="1:16" s="1232" customFormat="1">
      <c r="A119" s="2118"/>
      <c r="D119" s="1848"/>
      <c r="E119" s="1848"/>
      <c r="F119" s="1848"/>
      <c r="G119" s="1848"/>
      <c r="H119" s="1848"/>
      <c r="O119" s="84"/>
      <c r="P119" s="84"/>
    </row>
    <row r="120" spans="1:16" s="1232" customFormat="1">
      <c r="A120" s="2118"/>
      <c r="D120" s="1848"/>
      <c r="E120" s="1848"/>
      <c r="F120" s="1848"/>
      <c r="G120" s="1848"/>
      <c r="H120" s="1848"/>
      <c r="O120" s="84"/>
      <c r="P120" s="84"/>
    </row>
    <row r="121" spans="1:16" s="1232" customFormat="1">
      <c r="A121" s="2118"/>
      <c r="D121" s="1848"/>
      <c r="E121" s="1848"/>
      <c r="F121" s="1848"/>
      <c r="G121" s="1848"/>
      <c r="H121" s="1848"/>
      <c r="O121" s="84"/>
      <c r="P121" s="84"/>
    </row>
    <row r="122" spans="1:16" s="1232" customFormat="1">
      <c r="A122" s="2118"/>
      <c r="D122" s="1848"/>
      <c r="E122" s="1848"/>
      <c r="F122" s="1848"/>
      <c r="G122" s="1848"/>
      <c r="H122" s="1848"/>
      <c r="O122" s="84"/>
      <c r="P122" s="84"/>
    </row>
    <row r="123" spans="1:16" s="1232" customFormat="1">
      <c r="A123" s="2118"/>
      <c r="D123" s="1848"/>
      <c r="E123" s="1848"/>
      <c r="F123" s="1848"/>
      <c r="G123" s="1848"/>
      <c r="H123" s="1848"/>
      <c r="O123" s="84"/>
      <c r="P123" s="84"/>
    </row>
    <row r="124" spans="1:16" s="1232" customFormat="1">
      <c r="A124" s="2118"/>
      <c r="D124" s="1848"/>
      <c r="E124" s="1848"/>
      <c r="F124" s="1848"/>
      <c r="G124" s="1848"/>
      <c r="H124" s="1848"/>
      <c r="O124" s="84"/>
      <c r="P124" s="84"/>
    </row>
    <row r="125" spans="1:16" s="1232" customFormat="1">
      <c r="A125" s="2118"/>
      <c r="D125" s="1848"/>
      <c r="E125" s="1848"/>
      <c r="F125" s="1848"/>
      <c r="G125" s="1848"/>
      <c r="H125" s="1848"/>
      <c r="O125" s="84"/>
      <c r="P125" s="84"/>
    </row>
    <row r="126" spans="1:16" s="1232" customFormat="1">
      <c r="A126" s="2118"/>
      <c r="D126" s="1848"/>
      <c r="E126" s="1848"/>
      <c r="F126" s="1848"/>
      <c r="G126" s="1848"/>
      <c r="H126" s="1848"/>
      <c r="O126" s="84"/>
      <c r="P126" s="84"/>
    </row>
    <row r="127" spans="1:16" s="1232" customFormat="1">
      <c r="A127" s="2118"/>
      <c r="D127" s="1848"/>
      <c r="E127" s="1848"/>
      <c r="F127" s="1848"/>
      <c r="G127" s="1848"/>
      <c r="H127" s="1848"/>
      <c r="O127" s="84"/>
      <c r="P127" s="84"/>
    </row>
    <row r="128" spans="1:16" s="1232" customFormat="1">
      <c r="A128" s="2118"/>
      <c r="D128" s="1848"/>
      <c r="E128" s="1848"/>
      <c r="F128" s="1848"/>
      <c r="G128" s="1848"/>
      <c r="H128" s="1848"/>
      <c r="O128" s="84"/>
      <c r="P128" s="84"/>
    </row>
    <row r="129" spans="1:16" s="1232" customFormat="1">
      <c r="A129" s="2118"/>
      <c r="D129" s="1848"/>
      <c r="E129" s="1848"/>
      <c r="F129" s="1848"/>
      <c r="G129" s="1848"/>
      <c r="H129" s="1848"/>
      <c r="O129" s="84"/>
      <c r="P129" s="84"/>
    </row>
    <row r="130" spans="1:16" s="1232" customFormat="1">
      <c r="A130" s="2118"/>
      <c r="D130" s="1848"/>
      <c r="E130" s="1848"/>
      <c r="F130" s="1848"/>
      <c r="G130" s="1848"/>
      <c r="H130" s="1848"/>
      <c r="O130" s="84"/>
      <c r="P130" s="84"/>
    </row>
    <row r="131" spans="1:16" s="1232" customFormat="1">
      <c r="A131" s="2118"/>
      <c r="D131" s="1848"/>
      <c r="E131" s="1848"/>
      <c r="F131" s="1848"/>
      <c r="G131" s="1848"/>
      <c r="H131" s="1848"/>
      <c r="O131" s="84"/>
      <c r="P131" s="84"/>
    </row>
    <row r="132" spans="1:16" s="1232" customFormat="1">
      <c r="A132" s="2118"/>
      <c r="D132" s="1848"/>
      <c r="E132" s="1848"/>
      <c r="F132" s="1848"/>
      <c r="G132" s="1848"/>
      <c r="H132" s="1848"/>
      <c r="O132" s="84"/>
      <c r="P132" s="84"/>
    </row>
    <row r="133" spans="1:16" s="1232" customFormat="1">
      <c r="A133" s="2118"/>
      <c r="D133" s="1848"/>
      <c r="E133" s="1848"/>
      <c r="F133" s="1848"/>
      <c r="G133" s="1848"/>
      <c r="H133" s="1848"/>
      <c r="O133" s="84"/>
      <c r="P133" s="84"/>
    </row>
    <row r="134" spans="1:16" s="1232" customFormat="1">
      <c r="A134" s="2118"/>
      <c r="D134" s="1848"/>
      <c r="E134" s="1848"/>
      <c r="F134" s="1848"/>
      <c r="G134" s="1848"/>
      <c r="H134" s="1848"/>
      <c r="O134" s="84"/>
      <c r="P134" s="84"/>
    </row>
    <row r="135" spans="1:16" s="1232" customFormat="1">
      <c r="A135" s="2118"/>
      <c r="D135" s="1848"/>
      <c r="E135" s="1848"/>
      <c r="F135" s="1848"/>
      <c r="G135" s="1848"/>
      <c r="H135" s="1848"/>
      <c r="O135" s="84"/>
      <c r="P135" s="84"/>
    </row>
    <row r="136" spans="1:16" s="1232" customFormat="1">
      <c r="A136" s="2118"/>
      <c r="D136" s="1848"/>
      <c r="E136" s="1848"/>
      <c r="F136" s="1848"/>
      <c r="G136" s="1848"/>
      <c r="H136" s="1848"/>
      <c r="O136" s="84"/>
      <c r="P136" s="84"/>
    </row>
    <row r="137" spans="1:16" s="1232" customFormat="1">
      <c r="A137" s="2118"/>
      <c r="D137" s="1848"/>
      <c r="E137" s="1848"/>
      <c r="F137" s="1848"/>
      <c r="G137" s="1848"/>
      <c r="H137" s="1848"/>
      <c r="O137" s="84"/>
      <c r="P137" s="84"/>
    </row>
    <row r="138" spans="1:16" s="1232" customFormat="1">
      <c r="A138" s="2118"/>
      <c r="D138" s="1848"/>
      <c r="E138" s="1848"/>
      <c r="F138" s="1848"/>
      <c r="G138" s="1848"/>
      <c r="H138" s="1848"/>
      <c r="O138" s="84"/>
      <c r="P138" s="84"/>
    </row>
    <row r="139" spans="1:16" s="1232" customFormat="1">
      <c r="A139" s="2118"/>
      <c r="D139" s="1848"/>
      <c r="E139" s="1848"/>
      <c r="F139" s="1848"/>
      <c r="G139" s="1848"/>
      <c r="H139" s="1848"/>
      <c r="O139" s="84"/>
      <c r="P139" s="84"/>
    </row>
    <row r="140" spans="1:16" s="1232" customFormat="1">
      <c r="A140" s="2118"/>
      <c r="D140" s="1848"/>
      <c r="E140" s="1848"/>
      <c r="F140" s="1848"/>
      <c r="G140" s="1848"/>
      <c r="H140" s="1848"/>
      <c r="O140" s="84"/>
      <c r="P140" s="84"/>
    </row>
    <row r="141" spans="1:16" s="1232" customFormat="1">
      <c r="A141" s="2118"/>
      <c r="D141" s="1848"/>
      <c r="E141" s="1848"/>
      <c r="F141" s="1848"/>
      <c r="G141" s="1848"/>
      <c r="H141" s="1848"/>
      <c r="O141" s="84"/>
      <c r="P141" s="84"/>
    </row>
    <row r="142" spans="1:16" s="1232" customFormat="1">
      <c r="A142" s="2118"/>
      <c r="D142" s="1848"/>
      <c r="E142" s="1848"/>
      <c r="F142" s="1848"/>
      <c r="G142" s="1848"/>
      <c r="H142" s="1848"/>
      <c r="O142" s="84"/>
      <c r="P142" s="84"/>
    </row>
    <row r="143" spans="1:16" s="1232" customFormat="1">
      <c r="A143" s="2118"/>
      <c r="D143" s="1848"/>
      <c r="E143" s="1848"/>
      <c r="F143" s="1848"/>
      <c r="G143" s="1848"/>
      <c r="H143" s="1848"/>
      <c r="O143" s="84"/>
      <c r="P143" s="84"/>
    </row>
    <row r="144" spans="1:16" s="1232" customFormat="1">
      <c r="A144" s="2118"/>
      <c r="D144" s="1848"/>
      <c r="E144" s="1848"/>
      <c r="F144" s="1848"/>
      <c r="G144" s="1848"/>
      <c r="H144" s="1848"/>
      <c r="O144" s="84"/>
      <c r="P144" s="84"/>
    </row>
    <row r="145" spans="1:16" s="1232" customFormat="1">
      <c r="A145" s="2118"/>
      <c r="D145" s="1848"/>
      <c r="E145" s="1848"/>
      <c r="F145" s="1848"/>
      <c r="G145" s="1848"/>
      <c r="H145" s="1848"/>
      <c r="O145" s="84"/>
      <c r="P145" s="84"/>
    </row>
    <row r="146" spans="1:16" s="1232" customFormat="1">
      <c r="A146" s="2118"/>
      <c r="D146" s="1848"/>
      <c r="E146" s="1848"/>
      <c r="F146" s="1848"/>
      <c r="G146" s="1848"/>
      <c r="H146" s="1848"/>
      <c r="O146" s="84"/>
      <c r="P146" s="84"/>
    </row>
    <row r="147" spans="1:16" s="1232" customFormat="1">
      <c r="A147" s="2118"/>
      <c r="D147" s="1848"/>
      <c r="E147" s="1848"/>
      <c r="F147" s="1848"/>
      <c r="G147" s="1848"/>
      <c r="H147" s="1848"/>
      <c r="O147" s="84"/>
      <c r="P147" s="84"/>
    </row>
    <row r="148" spans="1:16" s="1232" customFormat="1">
      <c r="A148" s="2118"/>
      <c r="D148" s="1848"/>
      <c r="E148" s="1848"/>
      <c r="F148" s="1848"/>
      <c r="G148" s="1848"/>
      <c r="H148" s="1848"/>
      <c r="O148" s="84"/>
      <c r="P148" s="84"/>
    </row>
    <row r="149" spans="1:16" s="1232" customFormat="1">
      <c r="A149" s="2118"/>
      <c r="D149" s="1848"/>
      <c r="E149" s="1848"/>
      <c r="F149" s="1848"/>
      <c r="G149" s="1848"/>
      <c r="H149" s="1848"/>
      <c r="O149" s="84"/>
      <c r="P149" s="84"/>
    </row>
    <row r="150" spans="1:16" s="1232" customFormat="1">
      <c r="A150" s="2118"/>
      <c r="D150" s="1848"/>
      <c r="E150" s="1848"/>
      <c r="F150" s="1848"/>
      <c r="G150" s="1848"/>
      <c r="H150" s="1848"/>
      <c r="O150" s="84"/>
      <c r="P150" s="84"/>
    </row>
    <row r="151" spans="1:16" s="1232" customFormat="1">
      <c r="A151" s="2118"/>
      <c r="D151" s="1848"/>
      <c r="E151" s="1848"/>
      <c r="F151" s="1848"/>
      <c r="G151" s="1848"/>
      <c r="H151" s="1848"/>
      <c r="O151" s="84"/>
      <c r="P151" s="84"/>
    </row>
    <row r="152" spans="1:16" s="1232" customFormat="1">
      <c r="A152" s="2118"/>
      <c r="D152" s="1848"/>
      <c r="E152" s="1848"/>
      <c r="F152" s="1848"/>
      <c r="G152" s="1848"/>
      <c r="H152" s="1848"/>
      <c r="O152" s="84"/>
      <c r="P152" s="84"/>
    </row>
    <row r="153" spans="1:16" s="1232" customFormat="1">
      <c r="A153" s="2119"/>
      <c r="B153" s="2065"/>
      <c r="D153" s="1848"/>
      <c r="E153" s="1848"/>
      <c r="F153" s="1848"/>
      <c r="G153" s="1848"/>
      <c r="H153" s="1848"/>
      <c r="O153" s="84"/>
      <c r="P153" s="84"/>
    </row>
    <row r="154" spans="1:16" s="1232" customFormat="1">
      <c r="A154" s="2119"/>
      <c r="B154" s="2065"/>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4"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3"/>
    <col min="30" max="16384" width="9" style="2134"/>
  </cols>
  <sheetData>
    <row r="1" spans="1:29" s="2126" customFormat="1" ht="19.5" thickBot="1">
      <c r="A1" s="2871" t="s">
        <v>1727</v>
      </c>
      <c r="B1" s="2872"/>
      <c r="C1" s="2872"/>
      <c r="D1" s="2872"/>
      <c r="E1" s="2872"/>
      <c r="F1" s="2872"/>
      <c r="G1" s="2872"/>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1728</v>
      </c>
      <c r="D2" s="2130"/>
      <c r="E2" s="2131"/>
      <c r="F2" s="2132"/>
      <c r="G2" s="2129" t="s">
        <v>1729</v>
      </c>
      <c r="H2" s="2133"/>
      <c r="I2" s="2133"/>
      <c r="J2" s="2133"/>
      <c r="K2" s="2133"/>
      <c r="L2" s="2133"/>
      <c r="M2" s="2133"/>
      <c r="N2" s="2133"/>
      <c r="O2" s="2133"/>
      <c r="P2" s="2133"/>
      <c r="Q2" s="2133"/>
      <c r="R2" s="2133"/>
    </row>
    <row r="3" spans="1:29" ht="81">
      <c r="A3" s="395" t="s">
        <v>1730</v>
      </c>
      <c r="B3" s="2135" t="s">
        <v>1731</v>
      </c>
      <c r="C3" s="2767" t="s">
        <v>2914</v>
      </c>
      <c r="D3" s="2136"/>
      <c r="E3" s="411" t="s">
        <v>1730</v>
      </c>
      <c r="F3" s="2137" t="s">
        <v>1732</v>
      </c>
      <c r="G3" s="2138" t="s">
        <v>1733</v>
      </c>
      <c r="H3" s="2133"/>
      <c r="I3" s="2133"/>
      <c r="J3" s="2133"/>
      <c r="K3" s="2133"/>
      <c r="L3" s="2133"/>
      <c r="M3" s="2133"/>
      <c r="N3" s="2133"/>
      <c r="O3" s="2133"/>
      <c r="P3" s="2133"/>
      <c r="Q3" s="2133"/>
      <c r="R3" s="2133"/>
    </row>
    <row r="4" spans="1:29" ht="40.5">
      <c r="A4" s="411"/>
      <c r="B4" s="1881" t="s">
        <v>1734</v>
      </c>
      <c r="C4" s="2762"/>
      <c r="D4" s="2136"/>
      <c r="E4" s="2140"/>
      <c r="F4" s="2141" t="s">
        <v>1735</v>
      </c>
      <c r="G4" s="2142" t="s">
        <v>1736</v>
      </c>
      <c r="H4" s="2133"/>
      <c r="I4" s="2133"/>
      <c r="J4" s="2133"/>
      <c r="K4" s="2133"/>
      <c r="L4" s="2133"/>
      <c r="M4" s="2133"/>
      <c r="N4" s="2133"/>
      <c r="O4" s="2133"/>
      <c r="P4" s="2133"/>
      <c r="Q4" s="2133"/>
      <c r="R4" s="2133"/>
    </row>
    <row r="5" spans="1:29" ht="27">
      <c r="A5" s="411"/>
      <c r="B5" s="1881" t="s">
        <v>1737</v>
      </c>
      <c r="C5" s="2139"/>
      <c r="D5" s="2136"/>
      <c r="E5" s="2140"/>
      <c r="F5" s="1881" t="s">
        <v>1738</v>
      </c>
      <c r="G5" s="2142" t="s">
        <v>1739</v>
      </c>
      <c r="H5" s="2133"/>
      <c r="I5" s="2133"/>
      <c r="J5" s="2133"/>
      <c r="K5" s="2133"/>
      <c r="L5" s="2133"/>
      <c r="M5" s="2133"/>
      <c r="N5" s="2133"/>
      <c r="O5" s="2133"/>
      <c r="P5" s="2133"/>
      <c r="Q5" s="2133"/>
      <c r="R5" s="2133"/>
    </row>
    <row r="6" spans="1:29" ht="81">
      <c r="A6" s="411"/>
      <c r="B6" s="1881" t="s">
        <v>1740</v>
      </c>
      <c r="C6" s="2763" t="s">
        <v>2915</v>
      </c>
      <c r="D6" s="2136"/>
      <c r="E6" s="2140"/>
      <c r="F6" s="1881" t="s">
        <v>1741</v>
      </c>
      <c r="G6" s="2142" t="s">
        <v>1742</v>
      </c>
      <c r="H6" s="2133"/>
      <c r="I6" s="2133"/>
      <c r="J6" s="2133"/>
      <c r="K6" s="2133"/>
      <c r="L6" s="2133"/>
      <c r="M6" s="2133"/>
      <c r="N6" s="2133"/>
      <c r="O6" s="2133"/>
      <c r="P6" s="2133"/>
      <c r="Q6" s="2133"/>
      <c r="R6" s="2133"/>
    </row>
    <row r="7" spans="1:29" ht="41.25" thickBot="1">
      <c r="A7" s="411"/>
      <c r="B7" s="1881" t="s">
        <v>1738</v>
      </c>
      <c r="C7" s="2768" t="s">
        <v>2916</v>
      </c>
      <c r="D7" s="2143"/>
      <c r="E7" s="2144"/>
      <c r="F7" s="2145" t="s">
        <v>1743</v>
      </c>
      <c r="G7" s="2146" t="s">
        <v>1744</v>
      </c>
      <c r="H7" s="2133"/>
      <c r="I7" s="2133"/>
      <c r="J7" s="2133"/>
      <c r="K7" s="2133"/>
      <c r="L7" s="2133"/>
      <c r="M7" s="2133"/>
      <c r="N7" s="2133"/>
      <c r="O7" s="2133"/>
      <c r="P7" s="2133"/>
      <c r="Q7" s="2133"/>
      <c r="R7" s="2133"/>
    </row>
    <row r="8" spans="1:29" ht="27">
      <c r="A8" s="411"/>
      <c r="B8" s="1881" t="s">
        <v>1741</v>
      </c>
      <c r="C8" s="2768" t="s">
        <v>2917</v>
      </c>
      <c r="D8" s="2143"/>
      <c r="E8" s="2143"/>
      <c r="F8" s="1241"/>
      <c r="G8" s="1241"/>
      <c r="H8" s="2133"/>
      <c r="I8" s="2133"/>
      <c r="J8" s="2133"/>
      <c r="K8" s="2133"/>
      <c r="L8" s="2133"/>
      <c r="M8" s="2133"/>
      <c r="N8" s="2133"/>
      <c r="O8" s="2133"/>
      <c r="P8" s="2133"/>
      <c r="Q8" s="2133"/>
      <c r="R8" s="2133"/>
    </row>
    <row r="9" spans="1:29" ht="40.5">
      <c r="A9" s="411"/>
      <c r="B9" s="1881" t="s">
        <v>1745</v>
      </c>
      <c r="C9" s="2762" t="s">
        <v>2918</v>
      </c>
      <c r="D9" s="2136"/>
      <c r="E9" s="2143"/>
      <c r="F9" s="1241"/>
      <c r="G9" s="1241"/>
      <c r="H9" s="2133"/>
      <c r="I9" s="2133"/>
      <c r="J9" s="2133"/>
      <c r="K9" s="2133"/>
      <c r="L9" s="2133"/>
      <c r="M9" s="2133"/>
      <c r="N9" s="2133"/>
      <c r="O9" s="2133"/>
      <c r="P9" s="2133"/>
      <c r="Q9" s="2133"/>
      <c r="R9" s="2133"/>
    </row>
    <row r="10" spans="1:29" s="35" customFormat="1" ht="15.75" thickBot="1">
      <c r="A10" s="2147"/>
      <c r="B10" s="2148" t="s">
        <v>1746</v>
      </c>
      <c r="C10" s="2769" t="s">
        <v>2919</v>
      </c>
      <c r="D10" s="2136"/>
      <c r="E10" s="2136"/>
      <c r="F10" s="1241"/>
      <c r="G10" s="1241"/>
      <c r="H10" s="2149"/>
      <c r="I10" s="2150"/>
      <c r="J10" s="2151"/>
      <c r="K10" s="2149"/>
      <c r="L10" s="2150"/>
      <c r="M10" s="2151"/>
      <c r="N10" s="2149"/>
      <c r="O10" s="2150"/>
      <c r="P10" s="2151"/>
      <c r="Q10" s="2149"/>
      <c r="R10" s="2150"/>
      <c r="S10" s="2133"/>
      <c r="T10" s="2133"/>
      <c r="U10" s="2133"/>
      <c r="V10" s="2133"/>
      <c r="W10" s="2133"/>
      <c r="X10" s="2133"/>
      <c r="Y10" s="2133"/>
      <c r="Z10" s="2133"/>
      <c r="AA10" s="2133"/>
      <c r="AB10" s="2133"/>
      <c r="AC10" s="2133"/>
    </row>
    <row r="11" spans="1:29" s="35" customFormat="1" ht="15">
      <c r="A11" s="2152"/>
      <c r="B11" s="2143"/>
      <c r="C11" s="2136"/>
      <c r="D11" s="2136"/>
      <c r="E11" s="2136"/>
      <c r="F11" s="2143"/>
      <c r="G11" s="1261"/>
      <c r="H11" s="2149"/>
      <c r="I11" s="2150"/>
      <c r="J11" s="2151"/>
      <c r="K11" s="2149"/>
      <c r="L11" s="2150"/>
      <c r="M11" s="2151"/>
      <c r="N11" s="2149"/>
      <c r="O11" s="2150"/>
      <c r="P11" s="2151"/>
      <c r="Q11" s="2149"/>
      <c r="R11" s="2150"/>
      <c r="S11" s="2133"/>
      <c r="T11" s="2133"/>
      <c r="U11" s="2133"/>
      <c r="V11" s="2133"/>
      <c r="W11" s="2133"/>
      <c r="X11" s="2133"/>
      <c r="Y11" s="2133"/>
      <c r="Z11" s="2133"/>
      <c r="AA11" s="2133"/>
      <c r="AB11" s="2133"/>
      <c r="AC11" s="2133"/>
    </row>
    <row r="12" spans="1:29" s="2126" customFormat="1" ht="18">
      <c r="A12" s="2152"/>
      <c r="B12" s="2143"/>
      <c r="C12" s="2136"/>
      <c r="D12" s="2153"/>
      <c r="E12" s="2136"/>
      <c r="F12" s="2143"/>
      <c r="G12" s="1261"/>
      <c r="H12" s="2154"/>
      <c r="I12" s="2155"/>
      <c r="J12" s="2154"/>
      <c r="K12" s="2154"/>
      <c r="L12" s="2156"/>
      <c r="M12" s="2154"/>
      <c r="N12" s="2157"/>
      <c r="O12" s="2158"/>
      <c r="P12" s="2157"/>
      <c r="Q12" s="2157"/>
      <c r="R12" s="2124"/>
      <c r="S12" s="2125"/>
      <c r="T12" s="2125"/>
      <c r="U12" s="2125"/>
      <c r="V12" s="2125"/>
      <c r="W12" s="2125"/>
      <c r="X12" s="2125"/>
      <c r="Y12" s="2125"/>
      <c r="Z12" s="2125"/>
      <c r="AA12" s="2125"/>
      <c r="AB12" s="2125"/>
      <c r="AC12" s="2125"/>
    </row>
    <row r="13" spans="1:29" ht="19.5" thickBot="1">
      <c r="A13" s="2159" t="s">
        <v>1747</v>
      </c>
      <c r="B13" s="2153"/>
      <c r="C13" s="2153"/>
      <c r="D13" s="2130"/>
      <c r="E13" s="2153"/>
      <c r="F13" s="2153"/>
      <c r="G13" s="2153"/>
    </row>
    <row r="14" spans="1:29" ht="15.75" thickBot="1">
      <c r="A14" s="2163"/>
      <c r="B14" s="2164"/>
      <c r="C14" s="2165" t="s">
        <v>1748</v>
      </c>
      <c r="D14" s="2136"/>
      <c r="E14" s="2166"/>
      <c r="F14" s="2166"/>
      <c r="G14" s="2129" t="s">
        <v>1749</v>
      </c>
    </row>
    <row r="15" spans="1:29" ht="85.5">
      <c r="A15" s="25" t="s">
        <v>1750</v>
      </c>
      <c r="B15" s="2167" t="s">
        <v>1731</v>
      </c>
      <c r="C15" s="2168" t="str">
        <f>C3</f>
        <v>估价对象周边居住用地比例高、居住小区规模大和社区发展完善程度较好，有万柳华府、万柳光大等多个住宅小区，综合评价居住社区成熟度较好</v>
      </c>
      <c r="D15" s="2136"/>
      <c r="E15" s="2169" t="s">
        <v>1751</v>
      </c>
      <c r="F15" s="2167" t="s">
        <v>1752</v>
      </c>
      <c r="G15" s="51" t="str">
        <f>G3</f>
        <v>估价对象位于XX开发区，园区建设成熟度XX，产业集聚程度XX</v>
      </c>
    </row>
    <row r="16" spans="1:29" ht="42.75">
      <c r="A16" s="629"/>
      <c r="B16" s="1488" t="s">
        <v>1734</v>
      </c>
      <c r="C16" s="2170">
        <f>C4</f>
        <v>0</v>
      </c>
      <c r="D16" s="2136"/>
      <c r="E16" s="2171"/>
      <c r="F16" s="2172" t="s">
        <v>1735</v>
      </c>
      <c r="G16" s="52" t="str">
        <f>G4</f>
        <v>估价对象周边道路状况、公共交通通达情况、停车便捷程度，综合评价交通便捷度较好</v>
      </c>
    </row>
    <row r="17" spans="1:18" ht="15">
      <c r="A17" s="629"/>
      <c r="B17" s="1488" t="s">
        <v>1737</v>
      </c>
      <c r="C17" s="2170">
        <f>C5</f>
        <v>0</v>
      </c>
      <c r="D17" s="2143"/>
      <c r="E17" s="2171"/>
      <c r="F17" s="2172" t="s">
        <v>1753</v>
      </c>
      <c r="G17" s="2173"/>
    </row>
    <row r="18" spans="1:18" ht="85.5">
      <c r="A18" s="629"/>
      <c r="B18" s="2172" t="s">
        <v>1740</v>
      </c>
      <c r="C18" s="52" t="str">
        <f>C6</f>
        <v>估价对象周边道路状况较好、公共交通通达情况较好、有534、539、611、614路等多路公交车及地铁10号线经过、停车便捷程度一般，综合评价交通便捷度较好</v>
      </c>
      <c r="D18" s="2143"/>
      <c r="E18" s="2171"/>
      <c r="F18" s="2172" t="s">
        <v>1743</v>
      </c>
      <c r="G18" s="52" t="str">
        <f>G7</f>
        <v>该园区内是否有污染型企业，绿化情况，卫生条件，整体环境状况判断</v>
      </c>
    </row>
    <row r="19" spans="1:18" ht="28.5">
      <c r="A19" s="629"/>
      <c r="B19" s="2172" t="s">
        <v>1754</v>
      </c>
      <c r="C19" s="2173"/>
      <c r="D19" s="2136"/>
      <c r="E19" s="2171"/>
      <c r="F19" s="1881" t="s">
        <v>1738</v>
      </c>
      <c r="G19" s="52" t="str">
        <f>G5</f>
        <v>估价对象所在区域公共配套设施齐备情况</v>
      </c>
    </row>
    <row r="20" spans="1:18" ht="42.75">
      <c r="A20" s="629"/>
      <c r="B20" s="2172" t="s">
        <v>1755</v>
      </c>
      <c r="C20" s="2170" t="str">
        <f>C9</f>
        <v>区域自然环境：巴沟山水园；人文环境：北京人民大学；综合评价环境状况较好</v>
      </c>
      <c r="D20" s="2143"/>
      <c r="E20" s="2171"/>
      <c r="F20" s="1881" t="s">
        <v>1756</v>
      </c>
      <c r="G20" s="52" t="str">
        <f>G6</f>
        <v>估价对象所在区域基础设施水平</v>
      </c>
    </row>
    <row r="21" spans="1:18" ht="28.5">
      <c r="A21" s="629"/>
      <c r="B21" s="1881" t="s">
        <v>1738</v>
      </c>
      <c r="C21" s="52" t="str">
        <f>C7</f>
        <v>估价对象所在区域公共配套设施齐备情况齐全</v>
      </c>
      <c r="D21" s="2136"/>
      <c r="E21" s="2171"/>
      <c r="F21" s="2172" t="s">
        <v>1757</v>
      </c>
      <c r="G21" s="2174"/>
    </row>
    <row r="22" spans="1:18" ht="28.5">
      <c r="A22" s="629"/>
      <c r="B22" s="1881" t="s">
        <v>1741</v>
      </c>
      <c r="C22" s="52" t="str">
        <f>C8</f>
        <v>估价对象所在区域基础设施水平高</v>
      </c>
      <c r="D22" s="2136"/>
      <c r="E22" s="2171"/>
      <c r="F22" s="2172" t="s">
        <v>1746</v>
      </c>
      <c r="G22" s="2175"/>
    </row>
    <row r="23" spans="1:18" s="2133" customFormat="1" ht="15.75" thickBot="1">
      <c r="A23" s="629"/>
      <c r="B23" s="2172" t="s">
        <v>1757</v>
      </c>
      <c r="C23" s="2174"/>
      <c r="D23" s="2160"/>
      <c r="E23" s="2176"/>
      <c r="F23" s="2177" t="s">
        <v>1758</v>
      </c>
      <c r="G23" s="2178"/>
      <c r="H23" s="2160"/>
      <c r="I23" s="2161"/>
      <c r="J23" s="2160"/>
      <c r="K23" s="2160"/>
      <c r="L23" s="2161"/>
      <c r="M23" s="2160"/>
      <c r="N23" s="2160"/>
      <c r="O23" s="2161"/>
      <c r="P23" s="2160"/>
      <c r="Q23" s="2160"/>
      <c r="R23" s="2162"/>
    </row>
    <row r="24" spans="1:18" s="2133" customFormat="1" ht="15.75" thickBot="1">
      <c r="A24" s="2179"/>
      <c r="B24" s="2177" t="s">
        <v>1759</v>
      </c>
      <c r="C24" s="53" t="str">
        <f>C10</f>
        <v>城市快速路-北三环西路</v>
      </c>
      <c r="D24" s="2160"/>
      <c r="E24" s="2180"/>
      <c r="F24" s="2180"/>
      <c r="G24" s="2181"/>
      <c r="H24" s="2160"/>
      <c r="I24" s="2161"/>
      <c r="J24" s="2160"/>
      <c r="K24" s="2160"/>
      <c r="L24" s="2161"/>
      <c r="M24" s="2160"/>
      <c r="N24" s="2160"/>
      <c r="O24" s="2161"/>
      <c r="P24" s="2160"/>
      <c r="Q24" s="2160"/>
      <c r="R24" s="2162"/>
    </row>
    <row r="25" spans="1:18" s="2133" customFormat="1">
      <c r="B25" s="2160"/>
      <c r="C25" s="2160"/>
      <c r="D25" s="2160"/>
      <c r="H25" s="2160"/>
      <c r="I25" s="2161"/>
      <c r="J25" s="2160"/>
      <c r="K25" s="2160"/>
      <c r="L25" s="2161"/>
      <c r="M25" s="2160"/>
      <c r="N25" s="2160"/>
      <c r="O25" s="2161"/>
      <c r="P25" s="2160"/>
      <c r="Q25" s="2160"/>
      <c r="R25" s="2162"/>
    </row>
    <row r="26" spans="1:18" s="2133" customFormat="1">
      <c r="B26" s="2160"/>
      <c r="C26" s="2160"/>
      <c r="D26" s="2160"/>
      <c r="H26" s="2160"/>
      <c r="I26" s="2161"/>
      <c r="J26" s="2160"/>
      <c r="K26" s="2160"/>
      <c r="L26" s="2161"/>
      <c r="M26" s="2160"/>
      <c r="N26" s="2160"/>
      <c r="O26" s="2161"/>
      <c r="P26" s="2160"/>
      <c r="Q26" s="2160"/>
      <c r="R26" s="2162"/>
    </row>
    <row r="27" spans="1:18" s="2133" customFormat="1">
      <c r="B27" s="2160"/>
      <c r="C27" s="2160"/>
      <c r="D27" s="2160"/>
      <c r="H27" s="2160"/>
      <c r="I27" s="2161"/>
      <c r="J27" s="2160"/>
      <c r="K27" s="2160"/>
      <c r="L27" s="2161"/>
      <c r="M27" s="2160"/>
      <c r="N27" s="2160"/>
      <c r="O27" s="2161"/>
      <c r="P27" s="2160"/>
      <c r="Q27" s="2160"/>
      <c r="R27" s="2162"/>
    </row>
    <row r="28" spans="1:18" s="2133" customFormat="1">
      <c r="B28" s="2160"/>
      <c r="C28" s="2160"/>
      <c r="D28" s="2160"/>
      <c r="H28" s="2160"/>
      <c r="I28" s="2161"/>
      <c r="J28" s="2160"/>
      <c r="K28" s="2160"/>
      <c r="L28" s="2161"/>
      <c r="M28" s="2160"/>
      <c r="N28" s="2160"/>
      <c r="O28" s="2161"/>
      <c r="P28" s="2160"/>
      <c r="Q28" s="2160"/>
      <c r="R28" s="2162"/>
    </row>
    <row r="29" spans="1:18" s="2133" customFormat="1">
      <c r="B29" s="2160"/>
      <c r="C29" s="2160"/>
      <c r="D29" s="2160"/>
      <c r="H29" s="2160"/>
      <c r="I29" s="2161"/>
      <c r="J29" s="2160"/>
      <c r="K29" s="2160"/>
      <c r="L29" s="2161"/>
      <c r="M29" s="2160"/>
      <c r="N29" s="2160"/>
      <c r="O29" s="2161"/>
      <c r="P29" s="2160"/>
      <c r="Q29" s="2160"/>
      <c r="R29" s="2162"/>
    </row>
    <row r="30" spans="1:18" s="2133" customFormat="1">
      <c r="B30" s="2160"/>
      <c r="C30" s="2160"/>
      <c r="D30" s="2160"/>
      <c r="H30" s="2160"/>
      <c r="I30" s="2161"/>
      <c r="J30" s="2160"/>
      <c r="K30" s="2160"/>
      <c r="L30" s="2161"/>
      <c r="M30" s="2160"/>
      <c r="N30" s="2160"/>
      <c r="O30" s="2161"/>
      <c r="P30" s="2160"/>
      <c r="Q30" s="2160"/>
      <c r="R30" s="2162"/>
    </row>
    <row r="31" spans="1:18" s="2133" customFormat="1">
      <c r="B31" s="2160"/>
      <c r="C31" s="2160"/>
      <c r="D31" s="2160"/>
      <c r="H31" s="2160"/>
      <c r="I31" s="2161"/>
      <c r="J31" s="2160"/>
      <c r="K31" s="2160"/>
      <c r="L31" s="2161"/>
      <c r="M31" s="2160"/>
      <c r="N31" s="2160"/>
      <c r="O31" s="2161"/>
      <c r="P31" s="2160"/>
      <c r="Q31" s="2160"/>
      <c r="R31" s="2162"/>
    </row>
    <row r="32" spans="1:18" s="2133" customFormat="1">
      <c r="B32" s="2160"/>
      <c r="C32" s="2160"/>
      <c r="D32" s="2160"/>
      <c r="H32" s="2160"/>
      <c r="I32" s="2161"/>
      <c r="J32" s="2160"/>
      <c r="K32" s="2160"/>
      <c r="L32" s="2161"/>
      <c r="M32" s="2160"/>
      <c r="N32" s="2160"/>
      <c r="O32" s="2161"/>
      <c r="P32" s="2160"/>
      <c r="Q32" s="2160"/>
      <c r="R32" s="2162"/>
    </row>
    <row r="33" spans="2:18" s="2133" customFormat="1">
      <c r="B33" s="2160"/>
      <c r="C33" s="2160"/>
      <c r="D33" s="2160"/>
      <c r="H33" s="2160"/>
      <c r="I33" s="2161"/>
      <c r="J33" s="2160"/>
      <c r="K33" s="2160"/>
      <c r="L33" s="2161"/>
      <c r="M33" s="2160"/>
      <c r="N33" s="2160"/>
      <c r="O33" s="2161"/>
      <c r="P33" s="2160"/>
      <c r="Q33" s="2160"/>
      <c r="R33" s="2162"/>
    </row>
    <row r="34" spans="2:18" s="2133" customFormat="1">
      <c r="B34" s="2160"/>
      <c r="C34" s="2160"/>
      <c r="D34" s="2160"/>
      <c r="H34" s="2160"/>
      <c r="I34" s="2161"/>
      <c r="J34" s="2160"/>
      <c r="K34" s="2160"/>
      <c r="L34" s="2161"/>
      <c r="M34" s="2160"/>
      <c r="N34" s="2160"/>
      <c r="O34" s="2161"/>
      <c r="P34" s="2160"/>
      <c r="Q34" s="2160"/>
      <c r="R34" s="2162"/>
    </row>
    <row r="35" spans="2:18" s="2133" customFormat="1">
      <c r="B35" s="2160"/>
      <c r="C35" s="2160"/>
      <c r="D35" s="2160"/>
      <c r="H35" s="2160"/>
      <c r="I35" s="2161"/>
      <c r="J35" s="2160"/>
      <c r="K35" s="2160"/>
      <c r="L35" s="2161"/>
      <c r="M35" s="2160"/>
      <c r="N35" s="2160"/>
      <c r="O35" s="2161"/>
      <c r="P35" s="2160"/>
      <c r="Q35" s="2160"/>
      <c r="R35" s="2162"/>
    </row>
    <row r="36" spans="2:18" s="2133" customFormat="1">
      <c r="B36" s="2160"/>
      <c r="C36" s="2160"/>
      <c r="D36" s="2160"/>
      <c r="H36" s="2160"/>
      <c r="I36" s="2161"/>
      <c r="J36" s="2160"/>
      <c r="K36" s="2160"/>
      <c r="L36" s="2161"/>
      <c r="M36" s="2160"/>
      <c r="N36" s="2160"/>
      <c r="O36" s="2161"/>
      <c r="P36" s="2160"/>
      <c r="Q36" s="2160"/>
      <c r="R36" s="2162"/>
    </row>
    <row r="37" spans="2:18" s="2133" customFormat="1">
      <c r="B37" s="2160"/>
      <c r="C37" s="2160"/>
      <c r="D37" s="2160"/>
      <c r="H37" s="2160"/>
      <c r="I37" s="2161"/>
      <c r="J37" s="2160"/>
      <c r="K37" s="2160"/>
      <c r="L37" s="2161"/>
      <c r="M37" s="2160"/>
      <c r="N37" s="2160"/>
      <c r="O37" s="2161"/>
      <c r="P37" s="2160"/>
      <c r="Q37" s="2160"/>
      <c r="R37" s="2162"/>
    </row>
    <row r="38" spans="2:18" s="2133" customFormat="1">
      <c r="B38" s="2160"/>
      <c r="C38" s="2160"/>
      <c r="D38" s="2160"/>
      <c r="E38" s="2160"/>
      <c r="F38" s="2160"/>
      <c r="G38" s="2161"/>
      <c r="H38" s="2160"/>
      <c r="I38" s="2161"/>
      <c r="J38" s="2160"/>
      <c r="K38" s="2160"/>
      <c r="L38" s="2161"/>
      <c r="M38" s="2160"/>
      <c r="N38" s="2160"/>
      <c r="O38" s="2161"/>
      <c r="P38" s="2160"/>
      <c r="Q38" s="2160"/>
      <c r="R38" s="2162"/>
    </row>
    <row r="39" spans="2:18" s="2133" customFormat="1">
      <c r="B39" s="2160"/>
      <c r="C39" s="2160"/>
      <c r="D39" s="2160"/>
      <c r="E39" s="2160"/>
      <c r="F39" s="2160"/>
      <c r="G39" s="2161"/>
      <c r="H39" s="2160"/>
      <c r="I39" s="2161"/>
      <c r="J39" s="2160"/>
      <c r="K39" s="2160"/>
      <c r="L39" s="2161"/>
      <c r="M39" s="2160"/>
      <c r="N39" s="2160"/>
      <c r="O39" s="2161"/>
      <c r="P39" s="2160"/>
      <c r="Q39" s="2160"/>
      <c r="R39" s="2162"/>
    </row>
    <row r="40" spans="2:18" s="2133" customFormat="1">
      <c r="B40" s="2160"/>
      <c r="C40" s="2160"/>
      <c r="D40" s="2160"/>
      <c r="E40" s="2160"/>
      <c r="F40" s="2160"/>
      <c r="G40" s="2161"/>
      <c r="H40" s="2160"/>
      <c r="I40" s="2161"/>
      <c r="J40" s="2160"/>
      <c r="K40" s="2160"/>
      <c r="L40" s="2161"/>
      <c r="M40" s="2160"/>
      <c r="N40" s="2160"/>
      <c r="O40" s="2161"/>
      <c r="P40" s="2160"/>
      <c r="Q40" s="2160"/>
      <c r="R40" s="2162"/>
    </row>
    <row r="41" spans="2:18" s="2133" customFormat="1">
      <c r="B41" s="2160"/>
      <c r="C41" s="2160"/>
      <c r="D41" s="2160"/>
      <c r="E41" s="2160"/>
      <c r="F41" s="2160"/>
      <c r="G41" s="2161"/>
      <c r="H41" s="2160"/>
      <c r="I41" s="2161"/>
      <c r="J41" s="2160"/>
      <c r="K41" s="2160"/>
      <c r="L41" s="2161"/>
      <c r="M41" s="2160"/>
      <c r="N41" s="2160"/>
      <c r="O41" s="2161"/>
      <c r="P41" s="2160"/>
      <c r="Q41" s="2160"/>
      <c r="R41" s="2162"/>
    </row>
    <row r="42" spans="2:18" s="2133" customFormat="1">
      <c r="B42" s="2160"/>
      <c r="C42" s="2160"/>
      <c r="D42" s="2160"/>
      <c r="E42" s="2160"/>
      <c r="F42" s="2160"/>
      <c r="G42" s="2161"/>
      <c r="H42" s="2160"/>
      <c r="I42" s="2161"/>
      <c r="J42" s="2160"/>
      <c r="K42" s="2160"/>
      <c r="L42" s="2161"/>
      <c r="M42" s="2160"/>
      <c r="N42" s="2160"/>
      <c r="O42" s="2161"/>
      <c r="P42" s="2160"/>
      <c r="Q42" s="2160"/>
      <c r="R42" s="2162"/>
    </row>
    <row r="43" spans="2:18" s="2133" customFormat="1">
      <c r="B43" s="2160"/>
      <c r="C43" s="2160"/>
      <c r="D43" s="2160"/>
      <c r="E43" s="2160"/>
      <c r="F43" s="2160"/>
      <c r="G43" s="2161"/>
      <c r="H43" s="2160"/>
      <c r="I43" s="2161"/>
      <c r="J43" s="2160"/>
      <c r="K43" s="2160"/>
      <c r="L43" s="2161"/>
      <c r="M43" s="2160"/>
      <c r="N43" s="2160"/>
      <c r="O43" s="2161"/>
      <c r="P43" s="2160"/>
      <c r="Q43" s="2160"/>
      <c r="R43" s="2162"/>
    </row>
    <row r="44" spans="2:18" s="2133" customFormat="1">
      <c r="B44" s="2160"/>
      <c r="C44" s="2160"/>
      <c r="D44" s="2160"/>
      <c r="E44" s="2160"/>
      <c r="F44" s="2160"/>
      <c r="G44" s="2161"/>
      <c r="H44" s="2160"/>
      <c r="I44" s="2161"/>
      <c r="J44" s="2160"/>
      <c r="K44" s="2160"/>
      <c r="L44" s="2161"/>
      <c r="M44" s="2160"/>
      <c r="N44" s="2160"/>
      <c r="O44" s="2161"/>
      <c r="P44" s="2160"/>
      <c r="Q44" s="2160"/>
      <c r="R44" s="2162"/>
    </row>
    <row r="45" spans="2:18" s="2133" customFormat="1">
      <c r="B45" s="2160"/>
      <c r="C45" s="2160"/>
      <c r="D45" s="2160"/>
      <c r="E45" s="2160"/>
      <c r="F45" s="2160"/>
      <c r="G45" s="2161"/>
      <c r="H45" s="2160"/>
      <c r="I45" s="2161"/>
      <c r="J45" s="2160"/>
      <c r="K45" s="2160"/>
      <c r="L45" s="2161"/>
      <c r="M45" s="2160"/>
      <c r="N45" s="2160"/>
      <c r="O45" s="2161"/>
      <c r="P45" s="2160"/>
      <c r="Q45" s="2160"/>
      <c r="R45" s="2162"/>
    </row>
    <row r="46" spans="2:18" s="2133" customFormat="1">
      <c r="B46" s="2160"/>
      <c r="C46" s="2160"/>
      <c r="D46" s="2160"/>
      <c r="E46" s="2160"/>
      <c r="F46" s="2160"/>
      <c r="G46" s="2161"/>
      <c r="H46" s="2160"/>
      <c r="I46" s="2161"/>
      <c r="J46" s="2160"/>
      <c r="K46" s="2160"/>
      <c r="L46" s="2161"/>
      <c r="M46" s="2160"/>
      <c r="N46" s="2160"/>
      <c r="O46" s="2161"/>
      <c r="P46" s="2160"/>
      <c r="Q46" s="2160"/>
      <c r="R46" s="2162"/>
    </row>
    <row r="47" spans="2:18" s="2133" customFormat="1">
      <c r="B47" s="2160"/>
      <c r="C47" s="2160"/>
      <c r="D47" s="2160"/>
      <c r="E47" s="2160"/>
      <c r="F47" s="2160"/>
      <c r="G47" s="2161"/>
      <c r="H47" s="2160"/>
      <c r="I47" s="2161"/>
      <c r="J47" s="2160"/>
      <c r="K47" s="2160"/>
      <c r="L47" s="2161"/>
      <c r="M47" s="2160"/>
      <c r="N47" s="2160"/>
      <c r="O47" s="2161"/>
      <c r="P47" s="2160"/>
      <c r="Q47" s="2160"/>
      <c r="R47" s="2162"/>
    </row>
    <row r="48" spans="2:18" s="2133" customFormat="1">
      <c r="B48" s="2160"/>
      <c r="C48" s="2160"/>
      <c r="D48" s="2160"/>
      <c r="E48" s="2160"/>
      <c r="F48" s="2160"/>
      <c r="G48" s="2161"/>
      <c r="H48" s="2160"/>
      <c r="I48" s="2161"/>
      <c r="J48" s="2160"/>
      <c r="K48" s="2160"/>
      <c r="L48" s="2161"/>
      <c r="M48" s="2160"/>
      <c r="N48" s="2160"/>
      <c r="O48" s="2161"/>
      <c r="P48" s="2160"/>
      <c r="Q48" s="2160"/>
      <c r="R48" s="2162"/>
    </row>
    <row r="49" spans="2:18" s="2133" customFormat="1">
      <c r="B49" s="2160"/>
      <c r="C49" s="2160"/>
      <c r="D49" s="2160"/>
      <c r="E49" s="2160"/>
      <c r="F49" s="2160"/>
      <c r="G49" s="2161"/>
      <c r="H49" s="2160"/>
      <c r="I49" s="2161"/>
      <c r="J49" s="2160"/>
      <c r="K49" s="2160"/>
      <c r="L49" s="2161"/>
      <c r="M49" s="2160"/>
      <c r="N49" s="2160"/>
      <c r="O49" s="2161"/>
      <c r="P49" s="2160"/>
      <c r="Q49" s="2160"/>
      <c r="R49" s="2162"/>
    </row>
    <row r="50" spans="2:18" s="2133" customFormat="1">
      <c r="B50" s="2160"/>
      <c r="C50" s="2160"/>
      <c r="D50" s="2160"/>
      <c r="E50" s="2160"/>
      <c r="F50" s="2160"/>
      <c r="G50" s="2161"/>
      <c r="H50" s="2160"/>
      <c r="I50" s="2161"/>
      <c r="J50" s="2160"/>
      <c r="K50" s="2160"/>
      <c r="L50" s="2161"/>
      <c r="M50" s="2160"/>
      <c r="N50" s="2160"/>
      <c r="O50" s="2161"/>
      <c r="P50" s="2160"/>
      <c r="Q50" s="2160"/>
      <c r="R50" s="2162"/>
    </row>
    <row r="51" spans="2:18" s="2133" customFormat="1">
      <c r="B51" s="2160"/>
      <c r="C51" s="2160"/>
      <c r="D51" s="2160"/>
      <c r="E51" s="2160"/>
      <c r="F51" s="2160"/>
      <c r="G51" s="2161"/>
      <c r="H51" s="2160"/>
      <c r="I51" s="2161"/>
      <c r="J51" s="2160"/>
      <c r="K51" s="2160"/>
      <c r="L51" s="2161"/>
      <c r="M51" s="2160"/>
      <c r="N51" s="2160"/>
      <c r="O51" s="2161"/>
      <c r="P51" s="2160"/>
      <c r="Q51" s="2160"/>
      <c r="R51" s="2162"/>
    </row>
    <row r="52" spans="2:18" s="2133" customFormat="1">
      <c r="B52" s="2160"/>
      <c r="C52" s="2160"/>
      <c r="D52" s="2160"/>
      <c r="E52" s="2160"/>
      <c r="F52" s="2160"/>
      <c r="G52" s="2161"/>
      <c r="H52" s="2160"/>
      <c r="I52" s="2161"/>
      <c r="J52" s="2160"/>
      <c r="K52" s="2160"/>
      <c r="L52" s="2161"/>
      <c r="M52" s="2160"/>
      <c r="N52" s="2160"/>
      <c r="O52" s="2161"/>
      <c r="P52" s="2160"/>
      <c r="Q52" s="2160"/>
      <c r="R52" s="2162"/>
    </row>
    <row r="53" spans="2:18" s="2133" customFormat="1">
      <c r="B53" s="2160"/>
      <c r="C53" s="2160"/>
      <c r="D53" s="2160"/>
      <c r="E53" s="2160"/>
      <c r="F53" s="2160"/>
      <c r="G53" s="2161"/>
      <c r="H53" s="2160"/>
      <c r="I53" s="2161"/>
      <c r="J53" s="2160"/>
      <c r="K53" s="2160"/>
      <c r="L53" s="2161"/>
      <c r="M53" s="2160"/>
      <c r="N53" s="2160"/>
      <c r="O53" s="2161"/>
      <c r="P53" s="2160"/>
      <c r="Q53" s="2160"/>
      <c r="R53" s="2162"/>
    </row>
    <row r="54" spans="2:18" s="2133" customFormat="1">
      <c r="B54" s="2160"/>
      <c r="C54" s="2160"/>
      <c r="D54" s="2160"/>
      <c r="E54" s="2160"/>
      <c r="F54" s="2160"/>
      <c r="G54" s="2161"/>
      <c r="H54" s="2160"/>
      <c r="I54" s="2161"/>
      <c r="J54" s="2160"/>
      <c r="K54" s="2160"/>
      <c r="L54" s="2161"/>
      <c r="M54" s="2160"/>
      <c r="N54" s="2160"/>
      <c r="O54" s="2161"/>
      <c r="P54" s="2160"/>
      <c r="Q54" s="2160"/>
      <c r="R54" s="2162"/>
    </row>
    <row r="55" spans="2:18" s="2133" customFormat="1">
      <c r="B55" s="2160"/>
      <c r="C55" s="2160"/>
      <c r="D55" s="2160"/>
      <c r="E55" s="2160"/>
      <c r="F55" s="2160"/>
      <c r="G55" s="2161"/>
      <c r="H55" s="2160"/>
      <c r="I55" s="2161"/>
      <c r="J55" s="2160"/>
      <c r="K55" s="2160"/>
      <c r="L55" s="2161"/>
      <c r="M55" s="2160"/>
      <c r="N55" s="2160"/>
      <c r="O55" s="2161"/>
      <c r="P55" s="2160"/>
      <c r="Q55" s="2160"/>
      <c r="R55" s="2162"/>
    </row>
    <row r="56" spans="2:18" s="2133" customFormat="1">
      <c r="B56" s="2160"/>
      <c r="C56" s="2160"/>
      <c r="D56" s="2160"/>
      <c r="E56" s="2160"/>
      <c r="F56" s="2160"/>
      <c r="G56" s="2161"/>
      <c r="H56" s="2160"/>
      <c r="I56" s="2161"/>
      <c r="J56" s="2160"/>
      <c r="K56" s="2160"/>
      <c r="L56" s="2161"/>
      <c r="M56" s="2160"/>
      <c r="N56" s="2160"/>
      <c r="O56" s="2161"/>
      <c r="P56" s="2160"/>
      <c r="Q56" s="2160"/>
      <c r="R56" s="2162"/>
    </row>
    <row r="57" spans="2:18" s="2133" customFormat="1">
      <c r="B57" s="2160"/>
      <c r="C57" s="2160"/>
      <c r="D57" s="2160"/>
      <c r="E57" s="2160"/>
      <c r="F57" s="2160"/>
      <c r="G57" s="2161"/>
      <c r="H57" s="2160"/>
      <c r="I57" s="2161"/>
      <c r="J57" s="2160"/>
      <c r="K57" s="2160"/>
      <c r="L57" s="2161"/>
      <c r="M57" s="2160"/>
      <c r="N57" s="2160"/>
      <c r="O57" s="2161"/>
      <c r="P57" s="2160"/>
      <c r="Q57" s="2160"/>
      <c r="R57" s="2162"/>
    </row>
    <row r="58" spans="2:18" s="2133" customFormat="1">
      <c r="B58" s="2160"/>
      <c r="C58" s="2160"/>
      <c r="D58" s="2160"/>
      <c r="E58" s="2160"/>
      <c r="F58" s="2160"/>
      <c r="G58" s="2161"/>
      <c r="H58" s="2160"/>
      <c r="I58" s="2161"/>
      <c r="J58" s="2160"/>
      <c r="K58" s="2160"/>
      <c r="L58" s="2161"/>
      <c r="M58" s="2160"/>
      <c r="N58" s="2160"/>
      <c r="O58" s="2161"/>
      <c r="P58" s="2160"/>
      <c r="Q58" s="2160"/>
      <c r="R58" s="2162"/>
    </row>
    <row r="59" spans="2:18" s="2133" customFormat="1">
      <c r="B59" s="2160"/>
      <c r="C59" s="2160"/>
      <c r="D59" s="2160"/>
      <c r="E59" s="2160"/>
      <c r="F59" s="2160"/>
      <c r="G59" s="2161"/>
      <c r="H59" s="2160"/>
      <c r="I59" s="2161"/>
      <c r="J59" s="2160"/>
      <c r="K59" s="2160"/>
      <c r="L59" s="2161"/>
      <c r="M59" s="2160"/>
      <c r="N59" s="2160"/>
      <c r="O59" s="2161"/>
      <c r="P59" s="2160"/>
      <c r="Q59" s="2160"/>
      <c r="R59" s="2162"/>
    </row>
    <row r="60" spans="2:18" s="2133" customFormat="1">
      <c r="B60" s="2160"/>
      <c r="C60" s="2160"/>
      <c r="D60" s="2160"/>
      <c r="E60" s="2160"/>
      <c r="F60" s="2160"/>
      <c r="G60" s="2161"/>
      <c r="H60" s="2160"/>
      <c r="I60" s="2161"/>
      <c r="J60" s="2160"/>
      <c r="K60" s="2160"/>
      <c r="L60" s="2161"/>
      <c r="M60" s="2160"/>
      <c r="N60" s="2160"/>
      <c r="O60" s="2161"/>
      <c r="P60" s="2160"/>
      <c r="Q60" s="2160"/>
      <c r="R60" s="2162"/>
    </row>
    <row r="61" spans="2:18" s="2133" customFormat="1">
      <c r="B61" s="2160"/>
      <c r="C61" s="2160"/>
      <c r="D61" s="2160"/>
      <c r="E61" s="2160"/>
      <c r="F61" s="2160"/>
      <c r="G61" s="2161"/>
      <c r="H61" s="2160"/>
      <c r="I61" s="2161"/>
      <c r="J61" s="2160"/>
      <c r="K61" s="2160"/>
      <c r="L61" s="2161"/>
      <c r="M61" s="2160"/>
      <c r="N61" s="2160"/>
      <c r="O61" s="2161"/>
      <c r="P61" s="2160"/>
      <c r="Q61" s="2160"/>
      <c r="R61" s="2162"/>
    </row>
    <row r="62" spans="2:18" s="2133" customFormat="1">
      <c r="B62" s="2160"/>
      <c r="C62" s="2160"/>
      <c r="D62" s="2160"/>
      <c r="E62" s="2160"/>
      <c r="F62" s="2160"/>
      <c r="G62" s="2161"/>
      <c r="H62" s="2160"/>
      <c r="I62" s="2161"/>
      <c r="J62" s="2160"/>
      <c r="K62" s="2160"/>
      <c r="L62" s="2161"/>
      <c r="M62" s="2160"/>
      <c r="N62" s="2160"/>
      <c r="O62" s="2161"/>
      <c r="P62" s="2160"/>
      <c r="Q62" s="2160"/>
      <c r="R62" s="2162"/>
    </row>
    <row r="63" spans="2:18" s="2133" customFormat="1">
      <c r="B63" s="2160"/>
      <c r="C63" s="2160"/>
      <c r="D63" s="2160"/>
      <c r="E63" s="2160"/>
      <c r="F63" s="2160"/>
      <c r="G63" s="2161"/>
      <c r="H63" s="2160"/>
      <c r="I63" s="2161"/>
      <c r="J63" s="2160"/>
      <c r="K63" s="2160"/>
      <c r="L63" s="2161"/>
      <c r="M63" s="2160"/>
      <c r="N63" s="2160"/>
      <c r="O63" s="2161"/>
      <c r="P63" s="2160"/>
      <c r="Q63" s="2160"/>
      <c r="R63" s="2162"/>
    </row>
    <row r="64" spans="2:18" s="2133" customFormat="1">
      <c r="B64" s="2160"/>
      <c r="C64" s="2160"/>
      <c r="D64" s="2160"/>
      <c r="E64" s="2160"/>
      <c r="F64" s="2160"/>
      <c r="G64" s="2161"/>
      <c r="H64" s="2160"/>
      <c r="I64" s="2161"/>
      <c r="J64" s="2160"/>
      <c r="K64" s="2160"/>
      <c r="L64" s="2161"/>
      <c r="M64" s="2160"/>
      <c r="N64" s="2160"/>
      <c r="O64" s="2161"/>
      <c r="P64" s="2160"/>
      <c r="Q64" s="2160"/>
      <c r="R64" s="2162"/>
    </row>
    <row r="65" spans="2:18" s="2133" customFormat="1">
      <c r="B65" s="2160"/>
      <c r="C65" s="2160"/>
      <c r="D65" s="2160"/>
      <c r="E65" s="2160"/>
      <c r="F65" s="2160"/>
      <c r="G65" s="2161"/>
      <c r="H65" s="2160"/>
      <c r="I65" s="2161"/>
      <c r="J65" s="2160"/>
      <c r="K65" s="2160"/>
      <c r="L65" s="2161"/>
      <c r="M65" s="2160"/>
      <c r="N65" s="2160"/>
      <c r="O65" s="2161"/>
      <c r="P65" s="2160"/>
      <c r="Q65" s="2160"/>
      <c r="R65" s="2162"/>
    </row>
    <row r="66" spans="2:18" s="2133" customFormat="1">
      <c r="B66" s="2160"/>
      <c r="C66" s="2160"/>
      <c r="D66" s="2160"/>
      <c r="E66" s="2160"/>
      <c r="F66" s="2160"/>
      <c r="G66" s="2161"/>
      <c r="H66" s="2160"/>
      <c r="I66" s="2161"/>
      <c r="J66" s="2160"/>
      <c r="K66" s="2160"/>
      <c r="L66" s="2161"/>
      <c r="M66" s="2160"/>
      <c r="N66" s="2160"/>
      <c r="O66" s="2161"/>
      <c r="P66" s="2160"/>
      <c r="Q66" s="2160"/>
      <c r="R66" s="2162"/>
    </row>
    <row r="67" spans="2:18" s="2133" customFormat="1">
      <c r="B67" s="2160"/>
      <c r="C67" s="2160"/>
      <c r="D67" s="2160"/>
      <c r="E67" s="2160"/>
      <c r="F67" s="2160"/>
      <c r="G67" s="2161"/>
      <c r="H67" s="2160"/>
      <c r="I67" s="2161"/>
      <c r="J67" s="2160"/>
      <c r="K67" s="2160"/>
      <c r="L67" s="2161"/>
      <c r="M67" s="2160"/>
      <c r="N67" s="2160"/>
      <c r="O67" s="2161"/>
      <c r="P67" s="2160"/>
      <c r="Q67" s="2160"/>
      <c r="R67" s="2162"/>
    </row>
    <row r="68" spans="2:18" s="2133" customFormat="1">
      <c r="B68" s="2160"/>
      <c r="C68" s="2160"/>
      <c r="D68" s="2160"/>
      <c r="E68" s="2160"/>
      <c r="F68" s="2160"/>
      <c r="G68" s="2161"/>
      <c r="H68" s="2160"/>
      <c r="I68" s="2161"/>
      <c r="J68" s="2160"/>
      <c r="K68" s="2160"/>
      <c r="L68" s="2161"/>
      <c r="M68" s="2160"/>
      <c r="N68" s="2160"/>
      <c r="O68" s="2161"/>
      <c r="P68" s="2160"/>
      <c r="Q68" s="2160"/>
      <c r="R68" s="2162"/>
    </row>
    <row r="69" spans="2:18" s="2133" customFormat="1">
      <c r="B69" s="2160"/>
      <c r="C69" s="2160"/>
      <c r="D69" s="2160"/>
      <c r="E69" s="2160"/>
      <c r="F69" s="2160"/>
      <c r="G69" s="2161"/>
      <c r="H69" s="2160"/>
      <c r="I69" s="2161"/>
      <c r="J69" s="2160"/>
      <c r="K69" s="2160"/>
      <c r="L69" s="2161"/>
      <c r="M69" s="2160"/>
      <c r="N69" s="2160"/>
      <c r="O69" s="2161"/>
      <c r="P69" s="2160"/>
      <c r="Q69" s="2160"/>
      <c r="R69" s="2162"/>
    </row>
    <row r="70" spans="2:18" s="2133" customFormat="1">
      <c r="B70" s="2160"/>
      <c r="C70" s="2160"/>
      <c r="D70" s="2160"/>
      <c r="E70" s="2160"/>
      <c r="F70" s="2160"/>
      <c r="G70" s="2161"/>
      <c r="H70" s="2160"/>
      <c r="I70" s="2161"/>
      <c r="J70" s="2160"/>
      <c r="K70" s="2160"/>
      <c r="L70" s="2161"/>
      <c r="M70" s="2160"/>
      <c r="N70" s="2160"/>
      <c r="O70" s="2161"/>
      <c r="P70" s="2160"/>
      <c r="Q70" s="2160"/>
      <c r="R70" s="2162"/>
    </row>
    <row r="71" spans="2:18" s="2133" customFormat="1">
      <c r="B71" s="2160"/>
      <c r="C71" s="2160"/>
      <c r="D71" s="2160"/>
      <c r="E71" s="2160"/>
      <c r="F71" s="2160"/>
      <c r="G71" s="2161"/>
      <c r="H71" s="2160"/>
      <c r="I71" s="2161"/>
      <c r="J71" s="2160"/>
      <c r="K71" s="2160"/>
      <c r="L71" s="2161"/>
      <c r="M71" s="2160"/>
      <c r="N71" s="2160"/>
      <c r="O71" s="2161"/>
      <c r="P71" s="2160"/>
      <c r="Q71" s="2160"/>
      <c r="R71" s="2162"/>
    </row>
    <row r="72" spans="2:18" s="2133" customFormat="1">
      <c r="B72" s="2160"/>
      <c r="C72" s="2160"/>
      <c r="D72" s="2160"/>
      <c r="E72" s="2160"/>
      <c r="F72" s="2160"/>
      <c r="G72" s="2161"/>
      <c r="H72" s="2160"/>
      <c r="I72" s="2161"/>
      <c r="J72" s="2160"/>
      <c r="K72" s="2160"/>
      <c r="L72" s="2161"/>
      <c r="M72" s="2160"/>
      <c r="N72" s="2160"/>
      <c r="O72" s="2161"/>
      <c r="P72" s="2160"/>
      <c r="Q72" s="2160"/>
      <c r="R72" s="2162"/>
    </row>
    <row r="73" spans="2:18" s="2133" customFormat="1">
      <c r="B73" s="2160"/>
      <c r="C73" s="2160"/>
      <c r="D73" s="2160"/>
      <c r="E73" s="2160"/>
      <c r="F73" s="2160"/>
      <c r="G73" s="2161"/>
      <c r="H73" s="2160"/>
      <c r="I73" s="2161"/>
      <c r="J73" s="2160"/>
      <c r="K73" s="2160"/>
      <c r="L73" s="2161"/>
      <c r="M73" s="2160"/>
      <c r="N73" s="2160"/>
      <c r="O73" s="2161"/>
      <c r="P73" s="2160"/>
      <c r="Q73" s="2160"/>
      <c r="R73" s="2162"/>
    </row>
    <row r="74" spans="2:18" s="2133" customFormat="1">
      <c r="B74" s="2160"/>
      <c r="C74" s="2160"/>
      <c r="D74" s="2160"/>
      <c r="E74" s="2160"/>
      <c r="F74" s="2160"/>
      <c r="G74" s="2161"/>
      <c r="H74" s="2160"/>
      <c r="I74" s="2161"/>
      <c r="J74" s="2160"/>
      <c r="K74" s="2160"/>
      <c r="L74" s="2161"/>
      <c r="M74" s="2160"/>
      <c r="N74" s="2160"/>
      <c r="O74" s="2161"/>
      <c r="P74" s="2160"/>
      <c r="Q74" s="2160"/>
      <c r="R74" s="2162"/>
    </row>
    <row r="75" spans="2:18" s="2133" customFormat="1">
      <c r="B75" s="2160"/>
      <c r="C75" s="2160"/>
      <c r="D75" s="2160"/>
      <c r="E75" s="2160"/>
      <c r="F75" s="2160"/>
      <c r="G75" s="2161"/>
      <c r="H75" s="2160"/>
      <c r="I75" s="2161"/>
      <c r="J75" s="2160"/>
      <c r="K75" s="2160"/>
      <c r="L75" s="2161"/>
      <c r="M75" s="2160"/>
      <c r="N75" s="2160"/>
      <c r="O75" s="2161"/>
      <c r="P75" s="2160"/>
      <c r="Q75" s="2160"/>
      <c r="R75" s="2162"/>
    </row>
    <row r="76" spans="2:18" s="2133" customFormat="1">
      <c r="B76" s="2160"/>
      <c r="C76" s="2160"/>
      <c r="D76" s="2160"/>
      <c r="E76" s="2160"/>
      <c r="F76" s="2160"/>
      <c r="G76" s="2161"/>
      <c r="H76" s="2160"/>
      <c r="I76" s="2161"/>
      <c r="J76" s="2160"/>
      <c r="K76" s="2160"/>
      <c r="L76" s="2161"/>
      <c r="M76" s="2160"/>
      <c r="N76" s="2160"/>
      <c r="O76" s="2161"/>
      <c r="P76" s="2160"/>
      <c r="Q76" s="2160"/>
      <c r="R76" s="2162"/>
    </row>
    <row r="77" spans="2:18" s="2133" customFormat="1">
      <c r="B77" s="2160"/>
      <c r="C77" s="2160"/>
      <c r="D77" s="2160"/>
      <c r="E77" s="2160"/>
      <c r="F77" s="2160"/>
      <c r="G77" s="2161"/>
      <c r="H77" s="2160"/>
      <c r="I77" s="2161"/>
      <c r="J77" s="2160"/>
      <c r="K77" s="2160"/>
      <c r="L77" s="2161"/>
      <c r="M77" s="2160"/>
      <c r="N77" s="2160"/>
      <c r="O77" s="2161"/>
      <c r="P77" s="2160"/>
      <c r="Q77" s="2160"/>
      <c r="R77" s="2162"/>
    </row>
    <row r="78" spans="2:18" s="2133" customFormat="1">
      <c r="B78" s="2160"/>
      <c r="C78" s="2160"/>
      <c r="D78" s="2160"/>
      <c r="E78" s="2160"/>
      <c r="F78" s="2160"/>
      <c r="G78" s="2161"/>
      <c r="H78" s="2160"/>
      <c r="I78" s="2161"/>
      <c r="J78" s="2160"/>
      <c r="K78" s="2160"/>
      <c r="L78" s="2161"/>
      <c r="M78" s="2160"/>
      <c r="N78" s="2160"/>
      <c r="O78" s="2161"/>
      <c r="P78" s="2160"/>
      <c r="Q78" s="2160"/>
      <c r="R78" s="2162"/>
    </row>
    <row r="79" spans="2:18" s="2133" customFormat="1">
      <c r="B79" s="2160"/>
      <c r="C79" s="2160"/>
      <c r="D79" s="2160"/>
      <c r="E79" s="2160"/>
      <c r="F79" s="2160"/>
      <c r="G79" s="2161"/>
      <c r="H79" s="2160"/>
      <c r="I79" s="2161"/>
      <c r="J79" s="2160"/>
      <c r="K79" s="2160"/>
      <c r="L79" s="2161"/>
      <c r="M79" s="2160"/>
      <c r="N79" s="2160"/>
      <c r="O79" s="2161"/>
      <c r="P79" s="2160"/>
      <c r="Q79" s="2160"/>
      <c r="R79" s="2162"/>
    </row>
    <row r="80" spans="2:18" s="2133" customFormat="1">
      <c r="B80" s="2160"/>
      <c r="C80" s="2160"/>
      <c r="D80" s="2160"/>
      <c r="E80" s="2160"/>
      <c r="F80" s="2160"/>
      <c r="G80" s="2161"/>
      <c r="H80" s="2160"/>
      <c r="I80" s="2161"/>
      <c r="J80" s="2160"/>
      <c r="K80" s="2160"/>
      <c r="L80" s="2161"/>
      <c r="M80" s="2160"/>
      <c r="N80" s="2160"/>
      <c r="O80" s="2161"/>
      <c r="P80" s="2160"/>
      <c r="Q80" s="2160"/>
      <c r="R80" s="2162"/>
    </row>
    <row r="81" spans="2:18" s="2133" customFormat="1">
      <c r="B81" s="2160"/>
      <c r="C81" s="2160"/>
      <c r="D81" s="2160"/>
      <c r="E81" s="2160"/>
      <c r="F81" s="2160"/>
      <c r="G81" s="2161"/>
      <c r="H81" s="2160"/>
      <c r="I81" s="2161"/>
      <c r="J81" s="2160"/>
      <c r="K81" s="2160"/>
      <c r="L81" s="2161"/>
      <c r="M81" s="2160"/>
      <c r="N81" s="2160"/>
      <c r="O81" s="2161"/>
      <c r="P81" s="2160"/>
      <c r="Q81" s="2160"/>
      <c r="R81" s="2162"/>
    </row>
    <row r="82" spans="2:18" s="2133" customFormat="1">
      <c r="B82" s="2160"/>
      <c r="C82" s="2160"/>
      <c r="D82" s="2160"/>
      <c r="E82" s="2160"/>
      <c r="F82" s="2160"/>
      <c r="G82" s="2161"/>
      <c r="H82" s="2160"/>
      <c r="I82" s="2161"/>
      <c r="J82" s="2160"/>
      <c r="K82" s="2160"/>
      <c r="L82" s="2161"/>
      <c r="M82" s="2160"/>
      <c r="N82" s="2160"/>
      <c r="O82" s="2161"/>
      <c r="P82" s="2160"/>
      <c r="Q82" s="2160"/>
      <c r="R82" s="2162"/>
    </row>
    <row r="83" spans="2:18" s="2133" customFormat="1">
      <c r="B83" s="2160"/>
      <c r="C83" s="2160"/>
      <c r="D83" s="2160"/>
      <c r="E83" s="2160"/>
      <c r="F83" s="2160"/>
      <c r="G83" s="2161"/>
      <c r="H83" s="2160"/>
      <c r="I83" s="2161"/>
      <c r="J83" s="2160"/>
      <c r="K83" s="2160"/>
      <c r="L83" s="2161"/>
      <c r="M83" s="2160"/>
      <c r="N83" s="2160"/>
      <c r="O83" s="2161"/>
      <c r="P83" s="2160"/>
      <c r="Q83" s="2160"/>
      <c r="R83" s="2162"/>
    </row>
    <row r="84" spans="2:18" s="2133" customFormat="1">
      <c r="B84" s="2160"/>
      <c r="C84" s="2160"/>
      <c r="D84" s="2160"/>
      <c r="E84" s="2160"/>
      <c r="F84" s="2160"/>
      <c r="G84" s="2161"/>
      <c r="H84" s="2160"/>
      <c r="I84" s="2161"/>
      <c r="J84" s="2160"/>
      <c r="K84" s="2160"/>
      <c r="L84" s="2161"/>
      <c r="M84" s="2160"/>
      <c r="N84" s="2160"/>
      <c r="O84" s="2161"/>
      <c r="P84" s="2160"/>
      <c r="Q84" s="2160"/>
      <c r="R84" s="2162"/>
    </row>
    <row r="85" spans="2:18" s="2133" customFormat="1">
      <c r="B85" s="2160"/>
      <c r="C85" s="2160"/>
      <c r="D85" s="2160"/>
      <c r="E85" s="2160"/>
      <c r="F85" s="2160"/>
      <c r="G85" s="2161"/>
      <c r="H85" s="2160"/>
      <c r="I85" s="2161"/>
      <c r="J85" s="2160"/>
      <c r="K85" s="2160"/>
      <c r="L85" s="2161"/>
      <c r="M85" s="2160"/>
      <c r="N85" s="2160"/>
      <c r="O85" s="2161"/>
      <c r="P85" s="2160"/>
      <c r="Q85" s="2160"/>
      <c r="R85" s="2162"/>
    </row>
    <row r="86" spans="2:18" s="2133" customFormat="1">
      <c r="B86" s="2160"/>
      <c r="C86" s="2160"/>
      <c r="D86" s="2160"/>
      <c r="E86" s="2160"/>
      <c r="F86" s="2160"/>
      <c r="G86" s="2161"/>
      <c r="H86" s="2160"/>
      <c r="I86" s="2161"/>
      <c r="J86" s="2160"/>
      <c r="K86" s="2160"/>
      <c r="L86" s="2161"/>
      <c r="M86" s="2160"/>
      <c r="N86" s="2160"/>
      <c r="O86" s="2161"/>
      <c r="P86" s="2160"/>
      <c r="Q86" s="2160"/>
      <c r="R86" s="2162"/>
    </row>
    <row r="87" spans="2:18" s="2133" customFormat="1">
      <c r="B87" s="2160"/>
      <c r="C87" s="2160"/>
      <c r="D87" s="2160"/>
      <c r="E87" s="2160"/>
      <c r="F87" s="2160"/>
      <c r="G87" s="2161"/>
      <c r="H87" s="2160"/>
      <c r="I87" s="2161"/>
      <c r="J87" s="2160"/>
      <c r="K87" s="2160"/>
      <c r="L87" s="2161"/>
      <c r="M87" s="2160"/>
      <c r="N87" s="2160"/>
      <c r="O87" s="2161"/>
      <c r="P87" s="2160"/>
      <c r="Q87" s="2160"/>
      <c r="R87" s="2162"/>
    </row>
    <row r="88" spans="2:18" s="2133" customFormat="1">
      <c r="B88" s="2160"/>
      <c r="C88" s="2160"/>
      <c r="D88" s="2160"/>
      <c r="E88" s="2160"/>
      <c r="F88" s="2160"/>
      <c r="G88" s="2161"/>
      <c r="H88" s="2160"/>
      <c r="I88" s="2161"/>
      <c r="J88" s="2160"/>
      <c r="K88" s="2160"/>
      <c r="L88" s="2161"/>
      <c r="M88" s="2160"/>
      <c r="N88" s="2160"/>
      <c r="O88" s="2161"/>
      <c r="P88" s="2160"/>
      <c r="Q88" s="2160"/>
      <c r="R88" s="2162"/>
    </row>
    <row r="89" spans="2:18" s="2133" customFormat="1">
      <c r="B89" s="2160"/>
      <c r="C89" s="2160"/>
      <c r="D89" s="2160"/>
      <c r="E89" s="2160"/>
      <c r="F89" s="2160"/>
      <c r="G89" s="2161"/>
      <c r="H89" s="2160"/>
      <c r="I89" s="2161"/>
      <c r="J89" s="2160"/>
      <c r="K89" s="2160"/>
      <c r="L89" s="2161"/>
      <c r="M89" s="2160"/>
      <c r="N89" s="2160"/>
      <c r="O89" s="2161"/>
      <c r="P89" s="2160"/>
      <c r="Q89" s="2160"/>
      <c r="R89" s="2162"/>
    </row>
    <row r="90" spans="2:18" s="2133" customFormat="1">
      <c r="B90" s="2160"/>
      <c r="C90" s="2160"/>
      <c r="D90" s="2160"/>
      <c r="E90" s="2160"/>
      <c r="F90" s="2160"/>
      <c r="G90" s="2161"/>
      <c r="H90" s="2160"/>
      <c r="I90" s="2161"/>
      <c r="J90" s="2160"/>
      <c r="K90" s="2160"/>
      <c r="L90" s="2161"/>
      <c r="M90" s="2160"/>
      <c r="N90" s="2160"/>
      <c r="O90" s="2161"/>
      <c r="P90" s="2160"/>
      <c r="Q90" s="2160"/>
      <c r="R90" s="2162"/>
    </row>
    <row r="91" spans="2:18" s="2133" customFormat="1">
      <c r="B91" s="2160"/>
      <c r="C91" s="2160"/>
      <c r="D91" s="2160"/>
      <c r="E91" s="2160"/>
      <c r="F91" s="2160"/>
      <c r="G91" s="2161"/>
      <c r="H91" s="2160"/>
      <c r="I91" s="2161"/>
      <c r="J91" s="2160"/>
      <c r="K91" s="2160"/>
      <c r="L91" s="2161"/>
      <c r="M91" s="2160"/>
      <c r="N91" s="2160"/>
      <c r="O91" s="2161"/>
      <c r="P91" s="2160"/>
      <c r="Q91" s="2160"/>
      <c r="R91" s="2162"/>
    </row>
    <row r="92" spans="2:18" s="2133" customFormat="1">
      <c r="B92" s="2160"/>
      <c r="C92" s="2160"/>
      <c r="D92" s="2160"/>
      <c r="E92" s="2160"/>
      <c r="F92" s="2160"/>
      <c r="G92" s="2161"/>
      <c r="H92" s="2160"/>
      <c r="I92" s="2161"/>
      <c r="J92" s="2160"/>
      <c r="K92" s="2160"/>
      <c r="L92" s="2161"/>
      <c r="M92" s="2160"/>
      <c r="N92" s="2160"/>
      <c r="O92" s="2161"/>
      <c r="P92" s="2160"/>
      <c r="Q92" s="2160"/>
      <c r="R92" s="2162"/>
    </row>
    <row r="93" spans="2:18" s="2133" customFormat="1">
      <c r="B93" s="2160"/>
      <c r="C93" s="2160"/>
      <c r="D93" s="2160"/>
      <c r="E93" s="2160"/>
      <c r="F93" s="2160"/>
      <c r="G93" s="2161"/>
      <c r="H93" s="2160"/>
      <c r="I93" s="2161"/>
      <c r="J93" s="2160"/>
      <c r="K93" s="2160"/>
      <c r="L93" s="2161"/>
      <c r="M93" s="2160"/>
      <c r="N93" s="2160"/>
      <c r="O93" s="2161"/>
      <c r="P93" s="2160"/>
      <c r="Q93" s="2160"/>
      <c r="R93" s="2162"/>
    </row>
    <row r="94" spans="2:18" s="2133" customFormat="1">
      <c r="B94" s="2160"/>
      <c r="C94" s="2160"/>
      <c r="D94" s="2160"/>
      <c r="E94" s="2160"/>
      <c r="F94" s="2160"/>
      <c r="G94" s="2161"/>
      <c r="H94" s="2160"/>
      <c r="I94" s="2161"/>
      <c r="J94" s="2160"/>
      <c r="K94" s="2160"/>
      <c r="L94" s="2161"/>
      <c r="M94" s="2160"/>
      <c r="N94" s="2160"/>
      <c r="O94" s="2161"/>
      <c r="P94" s="2160"/>
      <c r="Q94" s="2160"/>
      <c r="R94" s="2162"/>
    </row>
    <row r="95" spans="2:18" s="2133" customFormat="1">
      <c r="B95" s="2160"/>
      <c r="C95" s="2160"/>
      <c r="D95" s="2160"/>
      <c r="E95" s="2160"/>
      <c r="F95" s="2160"/>
      <c r="G95" s="2161"/>
      <c r="H95" s="2160"/>
      <c r="I95" s="2161"/>
      <c r="J95" s="2160"/>
      <c r="K95" s="2160"/>
      <c r="L95" s="2161"/>
      <c r="M95" s="2160"/>
      <c r="N95" s="2160"/>
      <c r="O95" s="2161"/>
      <c r="P95" s="2160"/>
      <c r="Q95" s="2160"/>
      <c r="R95" s="2162"/>
    </row>
    <row r="96" spans="2:18" s="2133" customFormat="1">
      <c r="B96" s="2160"/>
      <c r="C96" s="2160"/>
      <c r="D96" s="2160"/>
      <c r="E96" s="2160"/>
      <c r="F96" s="2160"/>
      <c r="G96" s="2161"/>
      <c r="H96" s="2160"/>
      <c r="I96" s="2161"/>
      <c r="J96" s="2160"/>
      <c r="K96" s="2160"/>
      <c r="L96" s="2161"/>
      <c r="M96" s="2160"/>
      <c r="N96" s="2160"/>
      <c r="O96" s="2161"/>
      <c r="P96" s="2160"/>
      <c r="Q96" s="2160"/>
      <c r="R96" s="2162"/>
    </row>
    <row r="97" spans="2:18" s="2133" customFormat="1">
      <c r="B97" s="2160"/>
      <c r="C97" s="2160"/>
      <c r="D97" s="2160"/>
      <c r="E97" s="2160"/>
      <c r="F97" s="2160"/>
      <c r="G97" s="2161"/>
      <c r="H97" s="2160"/>
      <c r="I97" s="2161"/>
      <c r="J97" s="2160"/>
      <c r="K97" s="2160"/>
      <c r="L97" s="2161"/>
      <c r="M97" s="2160"/>
      <c r="N97" s="2160"/>
      <c r="O97" s="2161"/>
      <c r="P97" s="2160"/>
      <c r="Q97" s="2160"/>
      <c r="R97" s="2162"/>
    </row>
    <row r="98" spans="2:18" s="2133" customFormat="1">
      <c r="B98" s="2160"/>
      <c r="C98" s="2160"/>
      <c r="D98" s="2160"/>
      <c r="E98" s="2160"/>
      <c r="F98" s="2160"/>
      <c r="G98" s="2161"/>
      <c r="H98" s="2160"/>
      <c r="I98" s="2161"/>
      <c r="J98" s="2160"/>
      <c r="K98" s="2160"/>
      <c r="L98" s="2161"/>
      <c r="M98" s="2160"/>
      <c r="N98" s="2160"/>
      <c r="O98" s="2161"/>
      <c r="P98" s="2160"/>
      <c r="Q98" s="2160"/>
      <c r="R98" s="2162"/>
    </row>
    <row r="99" spans="2:18" s="2133" customFormat="1">
      <c r="B99" s="2160"/>
      <c r="C99" s="2160"/>
      <c r="D99" s="2160"/>
      <c r="E99" s="2160"/>
      <c r="F99" s="2160"/>
      <c r="G99" s="2161"/>
      <c r="H99" s="2160"/>
      <c r="I99" s="2161"/>
      <c r="J99" s="2160"/>
      <c r="K99" s="2160"/>
      <c r="L99" s="2161"/>
      <c r="M99" s="2160"/>
      <c r="N99" s="2160"/>
      <c r="O99" s="2161"/>
      <c r="P99" s="2160"/>
      <c r="Q99" s="2160"/>
      <c r="R99" s="2162"/>
    </row>
    <row r="100" spans="2:18" s="2133" customFormat="1">
      <c r="B100" s="2160"/>
      <c r="C100" s="2160"/>
      <c r="D100" s="2160"/>
      <c r="E100" s="2160"/>
      <c r="F100" s="2160"/>
      <c r="G100" s="2161"/>
      <c r="H100" s="2160"/>
      <c r="I100" s="2161"/>
      <c r="J100" s="2160"/>
      <c r="K100" s="2160"/>
      <c r="L100" s="2161"/>
      <c r="M100" s="2160"/>
      <c r="N100" s="2160"/>
      <c r="O100" s="2161"/>
      <c r="P100" s="2160"/>
      <c r="Q100" s="2160"/>
      <c r="R100" s="2162"/>
    </row>
    <row r="101" spans="2:18" s="2133" customFormat="1">
      <c r="B101" s="2160"/>
      <c r="C101" s="2160"/>
      <c r="D101" s="2160"/>
      <c r="E101" s="2160"/>
      <c r="F101" s="2160"/>
      <c r="G101" s="2161"/>
      <c r="H101" s="2160"/>
      <c r="I101" s="2161"/>
      <c r="J101" s="2160"/>
      <c r="K101" s="2160"/>
      <c r="L101" s="2161"/>
      <c r="M101" s="2160"/>
      <c r="N101" s="2160"/>
      <c r="O101" s="2161"/>
      <c r="P101" s="2160"/>
      <c r="Q101" s="2160"/>
      <c r="R101" s="2162"/>
    </row>
    <row r="102" spans="2:18" s="2133" customFormat="1">
      <c r="B102" s="2160"/>
      <c r="C102" s="2160"/>
      <c r="D102" s="2160"/>
      <c r="E102" s="2160"/>
      <c r="F102" s="2160"/>
      <c r="G102" s="2161"/>
      <c r="H102" s="2160"/>
      <c r="I102" s="2161"/>
      <c r="J102" s="2160"/>
      <c r="K102" s="2160"/>
      <c r="L102" s="2161"/>
      <c r="M102" s="2160"/>
      <c r="N102" s="2160"/>
      <c r="O102" s="2161"/>
      <c r="P102" s="2160"/>
      <c r="Q102" s="2160"/>
      <c r="R102" s="2162"/>
    </row>
    <row r="103" spans="2:18" s="2133" customFormat="1">
      <c r="B103" s="2160"/>
      <c r="C103" s="2160"/>
      <c r="D103" s="2160"/>
      <c r="E103" s="2160"/>
      <c r="F103" s="2160"/>
      <c r="G103" s="2161"/>
      <c r="H103" s="2160"/>
      <c r="I103" s="2161"/>
      <c r="J103" s="2160"/>
      <c r="K103" s="2160"/>
      <c r="L103" s="2161"/>
      <c r="M103" s="2160"/>
      <c r="N103" s="2160"/>
      <c r="O103" s="2161"/>
      <c r="P103" s="2160"/>
      <c r="Q103" s="2160"/>
      <c r="R103" s="2162"/>
    </row>
    <row r="104" spans="2:18" s="2133" customFormat="1">
      <c r="B104" s="2160"/>
      <c r="C104" s="2160"/>
      <c r="D104" s="2160"/>
      <c r="E104" s="2160"/>
      <c r="F104" s="2160"/>
      <c r="G104" s="2161"/>
      <c r="H104" s="2160"/>
      <c r="I104" s="2161"/>
      <c r="J104" s="2160"/>
      <c r="K104" s="2160"/>
      <c r="L104" s="2161"/>
      <c r="M104" s="2160"/>
      <c r="N104" s="2160"/>
      <c r="O104" s="2161"/>
      <c r="P104" s="2160"/>
      <c r="Q104" s="2160"/>
      <c r="R104" s="2162"/>
    </row>
    <row r="105" spans="2:18" s="2133" customFormat="1">
      <c r="B105" s="2160"/>
      <c r="C105" s="2160"/>
      <c r="D105" s="2160"/>
      <c r="E105" s="2160"/>
      <c r="F105" s="2160"/>
      <c r="G105" s="2161"/>
      <c r="H105" s="2160"/>
      <c r="I105" s="2161"/>
      <c r="J105" s="2160"/>
      <c r="K105" s="2160"/>
      <c r="L105" s="2161"/>
      <c r="M105" s="2160"/>
      <c r="N105" s="2160"/>
      <c r="O105" s="2161"/>
      <c r="P105" s="2160"/>
      <c r="Q105" s="2160"/>
      <c r="R105" s="2162"/>
    </row>
    <row r="106" spans="2:18" s="2133" customFormat="1">
      <c r="B106" s="2160"/>
      <c r="C106" s="2160"/>
      <c r="D106" s="2160"/>
      <c r="E106" s="2160"/>
      <c r="F106" s="2160"/>
      <c r="G106" s="2161"/>
      <c r="H106" s="2160"/>
      <c r="I106" s="2161"/>
      <c r="J106" s="2160"/>
      <c r="K106" s="2160"/>
      <c r="L106" s="2161"/>
      <c r="M106" s="2160"/>
      <c r="N106" s="2160"/>
      <c r="O106" s="2161"/>
      <c r="P106" s="2160"/>
      <c r="Q106" s="2160"/>
      <c r="R106" s="2162"/>
    </row>
    <row r="107" spans="2:18" s="2133" customFormat="1">
      <c r="B107" s="2160"/>
      <c r="C107" s="2160"/>
      <c r="D107" s="2160"/>
      <c r="E107" s="2160"/>
      <c r="F107" s="2160"/>
      <c r="G107" s="2161"/>
      <c r="H107" s="2160"/>
      <c r="I107" s="2161"/>
      <c r="J107" s="2160"/>
      <c r="K107" s="2160"/>
      <c r="L107" s="2161"/>
      <c r="M107" s="2160"/>
      <c r="N107" s="2160"/>
      <c r="O107" s="2161"/>
      <c r="P107" s="2160"/>
      <c r="Q107" s="2160"/>
      <c r="R107" s="2162"/>
    </row>
    <row r="108" spans="2:18" s="2133" customFormat="1">
      <c r="B108" s="2160"/>
      <c r="C108" s="2160"/>
      <c r="D108" s="2160"/>
      <c r="E108" s="2160"/>
      <c r="F108" s="2160"/>
      <c r="G108" s="2161"/>
      <c r="H108" s="2160"/>
      <c r="I108" s="2161"/>
      <c r="J108" s="2160"/>
      <c r="K108" s="2160"/>
      <c r="L108" s="2161"/>
      <c r="M108" s="2160"/>
      <c r="N108" s="2160"/>
      <c r="O108" s="2161"/>
      <c r="P108" s="2160"/>
      <c r="Q108" s="2160"/>
      <c r="R108" s="2162"/>
    </row>
    <row r="109" spans="2:18" s="2133" customFormat="1">
      <c r="B109" s="2160"/>
      <c r="C109" s="2160"/>
      <c r="D109" s="2160"/>
      <c r="E109" s="2160"/>
      <c r="F109" s="2160"/>
      <c r="G109" s="2161"/>
      <c r="H109" s="2160"/>
      <c r="I109" s="2161"/>
      <c r="J109" s="2160"/>
      <c r="K109" s="2160"/>
      <c r="L109" s="2161"/>
      <c r="M109" s="2160"/>
      <c r="N109" s="2160"/>
      <c r="O109" s="2161"/>
      <c r="P109" s="2160"/>
      <c r="Q109" s="2160"/>
      <c r="R109" s="2162"/>
    </row>
    <row r="110" spans="2:18" s="2133" customFormat="1">
      <c r="B110" s="2160"/>
      <c r="C110" s="2160"/>
      <c r="D110" s="2160"/>
      <c r="E110" s="2160"/>
      <c r="F110" s="2160"/>
      <c r="G110" s="2161"/>
      <c r="H110" s="2160"/>
      <c r="I110" s="2161"/>
      <c r="J110" s="2160"/>
      <c r="K110" s="2160"/>
      <c r="L110" s="2161"/>
      <c r="M110" s="2160"/>
      <c r="N110" s="2160"/>
      <c r="O110" s="2161"/>
      <c r="P110" s="2160"/>
      <c r="Q110" s="2160"/>
      <c r="R110" s="2162"/>
    </row>
    <row r="111" spans="2:18" s="2133" customFormat="1">
      <c r="B111" s="2160"/>
      <c r="C111" s="2160"/>
      <c r="D111" s="2160"/>
      <c r="E111" s="2160"/>
      <c r="F111" s="2160"/>
      <c r="G111" s="2161"/>
      <c r="H111" s="2160"/>
      <c r="I111" s="2161"/>
      <c r="J111" s="2160"/>
      <c r="K111" s="2160"/>
      <c r="L111" s="2161"/>
      <c r="M111" s="2160"/>
      <c r="N111" s="2160"/>
      <c r="O111" s="2161"/>
      <c r="P111" s="2160"/>
      <c r="Q111" s="2160"/>
      <c r="R111" s="2162"/>
    </row>
    <row r="112" spans="2:18" s="2133" customFormat="1">
      <c r="B112" s="2160"/>
      <c r="C112" s="2160"/>
      <c r="D112" s="2160"/>
      <c r="E112" s="2160"/>
      <c r="F112" s="2160"/>
      <c r="G112" s="2161"/>
      <c r="H112" s="2160"/>
      <c r="I112" s="2161"/>
      <c r="J112" s="2160"/>
      <c r="K112" s="2160"/>
      <c r="L112" s="2161"/>
      <c r="M112" s="2160"/>
      <c r="N112" s="2160"/>
      <c r="O112" s="2161"/>
      <c r="P112" s="2160"/>
      <c r="Q112" s="2160"/>
      <c r="R112" s="2162"/>
    </row>
    <row r="113" spans="2:18" s="2133" customFormat="1">
      <c r="B113" s="2160"/>
      <c r="C113" s="2160"/>
      <c r="D113" s="2160"/>
      <c r="E113" s="2160"/>
      <c r="F113" s="2160"/>
      <c r="G113" s="2161"/>
      <c r="H113" s="2160"/>
      <c r="I113" s="2161"/>
      <c r="J113" s="2160"/>
      <c r="K113" s="2160"/>
      <c r="L113" s="2161"/>
      <c r="M113" s="2160"/>
      <c r="N113" s="2160"/>
      <c r="O113" s="2161"/>
      <c r="P113" s="2160"/>
      <c r="Q113" s="2160"/>
      <c r="R113" s="2162"/>
    </row>
    <row r="114" spans="2:18" s="2133" customFormat="1">
      <c r="B114" s="2160"/>
      <c r="C114" s="2160"/>
      <c r="D114" s="2160"/>
      <c r="E114" s="2160"/>
      <c r="F114" s="2160"/>
      <c r="G114" s="2161"/>
      <c r="H114" s="2160"/>
      <c r="I114" s="2161"/>
      <c r="J114" s="2160"/>
      <c r="K114" s="2160"/>
      <c r="L114" s="2161"/>
      <c r="M114" s="2160"/>
      <c r="N114" s="2160"/>
      <c r="O114" s="2161"/>
      <c r="P114" s="2160"/>
      <c r="Q114" s="2160"/>
      <c r="R114" s="2162"/>
    </row>
    <row r="115" spans="2:18" s="2133" customFormat="1">
      <c r="B115" s="2160"/>
      <c r="C115" s="2160"/>
      <c r="D115" s="2160"/>
      <c r="E115" s="2160"/>
      <c r="F115" s="2160"/>
      <c r="G115" s="2161"/>
      <c r="H115" s="2160"/>
      <c r="I115" s="2161"/>
      <c r="J115" s="2160"/>
      <c r="K115" s="2160"/>
      <c r="L115" s="2161"/>
      <c r="M115" s="2160"/>
      <c r="N115" s="2160"/>
      <c r="O115" s="2161"/>
      <c r="P115" s="2160"/>
      <c r="Q115" s="2160"/>
      <c r="R115" s="2162"/>
    </row>
    <row r="116" spans="2:18" s="2133" customFormat="1">
      <c r="B116" s="2160"/>
      <c r="C116" s="2160"/>
      <c r="D116" s="2160"/>
      <c r="E116" s="2160"/>
      <c r="F116" s="2160"/>
      <c r="G116" s="2161"/>
      <c r="H116" s="2160"/>
      <c r="I116" s="2161"/>
      <c r="J116" s="2160"/>
      <c r="K116" s="2160"/>
      <c r="L116" s="2161"/>
      <c r="M116" s="2160"/>
      <c r="N116" s="2160"/>
      <c r="O116" s="2161"/>
      <c r="P116" s="2160"/>
      <c r="Q116" s="2160"/>
      <c r="R116" s="2162"/>
    </row>
    <row r="117" spans="2:18" s="2133" customFormat="1">
      <c r="B117" s="2160"/>
      <c r="C117" s="2160"/>
      <c r="D117" s="2160"/>
      <c r="E117" s="2160"/>
      <c r="F117" s="2160"/>
      <c r="G117" s="2161"/>
      <c r="H117" s="2160"/>
      <c r="I117" s="2161"/>
      <c r="J117" s="2160"/>
      <c r="K117" s="2160"/>
      <c r="L117" s="2161"/>
      <c r="M117" s="2160"/>
      <c r="N117" s="2160"/>
      <c r="O117" s="2161"/>
      <c r="P117" s="2160"/>
      <c r="Q117" s="2160"/>
      <c r="R117" s="2162"/>
    </row>
    <row r="118" spans="2:18" s="2133" customFormat="1">
      <c r="B118" s="2160"/>
      <c r="C118" s="2160"/>
      <c r="D118" s="2160"/>
      <c r="E118" s="2160"/>
      <c r="F118" s="2160"/>
      <c r="G118" s="2161"/>
      <c r="H118" s="2160"/>
      <c r="I118" s="2161"/>
      <c r="J118" s="2160"/>
      <c r="K118" s="2160"/>
      <c r="L118" s="2161"/>
      <c r="M118" s="2160"/>
      <c r="N118" s="2160"/>
      <c r="O118" s="2161"/>
      <c r="P118" s="2160"/>
      <c r="Q118" s="2160"/>
      <c r="R118" s="2162"/>
    </row>
    <row r="119" spans="2:18" s="2133" customFormat="1">
      <c r="B119" s="2160"/>
      <c r="C119" s="2160"/>
      <c r="D119" s="2160"/>
      <c r="E119" s="2160"/>
      <c r="F119" s="2160"/>
      <c r="G119" s="2161"/>
      <c r="H119" s="2160"/>
      <c r="I119" s="2161"/>
      <c r="J119" s="2160"/>
      <c r="K119" s="2160"/>
      <c r="L119" s="2161"/>
      <c r="M119" s="2160"/>
      <c r="N119" s="2160"/>
      <c r="O119" s="2161"/>
      <c r="P119" s="2160"/>
      <c r="Q119" s="2160"/>
      <c r="R119" s="2162"/>
    </row>
    <row r="120" spans="2:18" s="2133" customFormat="1">
      <c r="B120" s="2160"/>
      <c r="C120" s="2160"/>
      <c r="D120" s="2160"/>
      <c r="E120" s="2160"/>
      <c r="F120" s="2160"/>
      <c r="G120" s="2161"/>
      <c r="H120" s="2160"/>
      <c r="I120" s="2161"/>
      <c r="J120" s="2160"/>
      <c r="K120" s="2160"/>
      <c r="L120" s="2161"/>
      <c r="M120" s="2160"/>
      <c r="N120" s="2160"/>
      <c r="O120" s="2161"/>
      <c r="P120" s="2160"/>
      <c r="Q120" s="2160"/>
      <c r="R120" s="2162"/>
    </row>
    <row r="121" spans="2:18" s="2133" customFormat="1">
      <c r="B121" s="2160"/>
      <c r="C121" s="2160"/>
      <c r="D121" s="2160"/>
      <c r="E121" s="2160"/>
      <c r="F121" s="2160"/>
      <c r="G121" s="2161"/>
      <c r="H121" s="2160"/>
      <c r="I121" s="2161"/>
      <c r="J121" s="2160"/>
      <c r="K121" s="2160"/>
      <c r="L121" s="2161"/>
      <c r="M121" s="2160"/>
      <c r="N121" s="2160"/>
      <c r="O121" s="2161"/>
      <c r="P121" s="2160"/>
      <c r="Q121" s="2160"/>
      <c r="R121" s="2162"/>
    </row>
    <row r="122" spans="2:18" s="2133" customFormat="1">
      <c r="B122" s="2160"/>
      <c r="C122" s="2160"/>
      <c r="D122" s="2160"/>
      <c r="E122" s="2160"/>
      <c r="F122" s="2160"/>
      <c r="G122" s="2161"/>
      <c r="H122" s="2160"/>
      <c r="I122" s="2161"/>
      <c r="J122" s="2160"/>
      <c r="K122" s="2160"/>
      <c r="L122" s="2161"/>
      <c r="M122" s="2160"/>
      <c r="N122" s="2160"/>
      <c r="O122" s="2161"/>
      <c r="P122" s="2160"/>
      <c r="Q122" s="2160"/>
      <c r="R122" s="2162"/>
    </row>
    <row r="123" spans="2:18" s="2133" customFormat="1">
      <c r="B123" s="2160"/>
      <c r="C123" s="2160"/>
      <c r="D123" s="2160"/>
      <c r="E123" s="2160"/>
      <c r="F123" s="2160"/>
      <c r="G123" s="2161"/>
      <c r="H123" s="2160"/>
      <c r="I123" s="2161"/>
      <c r="J123" s="2160"/>
      <c r="K123" s="2160"/>
      <c r="L123" s="2161"/>
      <c r="M123" s="2160"/>
      <c r="N123" s="2160"/>
      <c r="O123" s="2161"/>
      <c r="P123" s="2160"/>
      <c r="Q123" s="2160"/>
      <c r="R123" s="2162"/>
    </row>
    <row r="124" spans="2:18" s="2133" customFormat="1">
      <c r="B124" s="2160"/>
      <c r="C124" s="2160"/>
      <c r="D124" s="2160"/>
      <c r="E124" s="2160"/>
      <c r="F124" s="2160"/>
      <c r="G124" s="2161"/>
      <c r="H124" s="2160"/>
      <c r="I124" s="2161"/>
      <c r="J124" s="2160"/>
      <c r="K124" s="2160"/>
      <c r="L124" s="2161"/>
      <c r="M124" s="2160"/>
      <c r="N124" s="2160"/>
      <c r="O124" s="2161"/>
      <c r="P124" s="2160"/>
      <c r="Q124" s="2160"/>
      <c r="R124" s="2162"/>
    </row>
    <row r="125" spans="2:18" s="2133" customFormat="1">
      <c r="B125" s="2160"/>
      <c r="C125" s="2160"/>
      <c r="D125" s="2160"/>
      <c r="E125" s="2160"/>
      <c r="F125" s="2160"/>
      <c r="G125" s="2161"/>
      <c r="H125" s="2160"/>
      <c r="I125" s="2161"/>
      <c r="J125" s="2160"/>
      <c r="K125" s="2160"/>
      <c r="L125" s="2161"/>
      <c r="M125" s="2160"/>
      <c r="N125" s="2160"/>
      <c r="O125" s="2161"/>
      <c r="P125" s="2160"/>
      <c r="Q125" s="2160"/>
      <c r="R125" s="2162"/>
    </row>
    <row r="126" spans="2:18" s="2133" customFormat="1">
      <c r="B126" s="2160"/>
      <c r="C126" s="2160"/>
      <c r="D126" s="2160"/>
      <c r="E126" s="2160"/>
      <c r="F126" s="2160"/>
      <c r="G126" s="2161"/>
      <c r="H126" s="2160"/>
      <c r="I126" s="2161"/>
      <c r="J126" s="2160"/>
      <c r="K126" s="2160"/>
      <c r="L126" s="2161"/>
      <c r="M126" s="2160"/>
      <c r="N126" s="2160"/>
      <c r="O126" s="2161"/>
      <c r="P126" s="2160"/>
      <c r="Q126" s="2160"/>
      <c r="R126" s="2162"/>
    </row>
    <row r="127" spans="2:18" s="2133" customFormat="1">
      <c r="B127" s="2160"/>
      <c r="C127" s="2160"/>
      <c r="D127" s="2160"/>
      <c r="E127" s="2160"/>
      <c r="F127" s="2160"/>
      <c r="G127" s="2161"/>
      <c r="H127" s="2160"/>
      <c r="I127" s="2161"/>
      <c r="J127" s="2160"/>
      <c r="K127" s="2160"/>
      <c r="L127" s="2161"/>
      <c r="M127" s="2160"/>
      <c r="N127" s="2160"/>
      <c r="O127" s="2161"/>
      <c r="P127" s="2160"/>
      <c r="Q127" s="2160"/>
      <c r="R127" s="2162"/>
    </row>
    <row r="128" spans="2:18" s="2133" customFormat="1">
      <c r="B128" s="2160"/>
      <c r="C128" s="2160"/>
      <c r="D128" s="2160"/>
      <c r="E128" s="2160"/>
      <c r="F128" s="2160"/>
      <c r="G128" s="2161"/>
      <c r="H128" s="2160"/>
      <c r="I128" s="2161"/>
      <c r="J128" s="2160"/>
      <c r="K128" s="2160"/>
      <c r="L128" s="2161"/>
      <c r="M128" s="2160"/>
      <c r="N128" s="2160"/>
      <c r="O128" s="2161"/>
      <c r="P128" s="2160"/>
      <c r="Q128" s="2160"/>
      <c r="R128" s="2162"/>
    </row>
    <row r="129" spans="2:18" s="2133" customFormat="1">
      <c r="B129" s="2160"/>
      <c r="C129" s="2160"/>
      <c r="D129" s="2160"/>
      <c r="E129" s="2160"/>
      <c r="F129" s="2160"/>
      <c r="G129" s="2161"/>
      <c r="H129" s="2160"/>
      <c r="I129" s="2161"/>
      <c r="J129" s="2160"/>
      <c r="K129" s="2160"/>
      <c r="L129" s="2161"/>
      <c r="M129" s="2160"/>
      <c r="N129" s="2160"/>
      <c r="O129" s="2161"/>
      <c r="P129" s="2160"/>
      <c r="Q129" s="2160"/>
      <c r="R129" s="2162"/>
    </row>
    <row r="130" spans="2:18" s="2133" customFormat="1">
      <c r="B130" s="2160"/>
      <c r="C130" s="2160"/>
      <c r="D130" s="2160"/>
      <c r="E130" s="2160"/>
      <c r="F130" s="2160"/>
      <c r="G130" s="2161"/>
      <c r="H130" s="2160"/>
      <c r="I130" s="2161"/>
      <c r="J130" s="2160"/>
      <c r="K130" s="2160"/>
      <c r="L130" s="2161"/>
      <c r="M130" s="2160"/>
      <c r="N130" s="2160"/>
      <c r="O130" s="2161"/>
      <c r="P130" s="2160"/>
      <c r="Q130" s="2160"/>
      <c r="R130" s="2162"/>
    </row>
    <row r="131" spans="2:18" s="2133" customFormat="1">
      <c r="B131" s="2160"/>
      <c r="C131" s="2160"/>
      <c r="D131" s="2160"/>
      <c r="E131" s="2160"/>
      <c r="F131" s="2160"/>
      <c r="G131" s="2161"/>
      <c r="H131" s="2160"/>
      <c r="I131" s="2161"/>
      <c r="J131" s="2160"/>
      <c r="K131" s="2160"/>
      <c r="L131" s="2161"/>
      <c r="M131" s="2160"/>
      <c r="N131" s="2160"/>
      <c r="O131" s="2161"/>
      <c r="P131" s="2160"/>
      <c r="Q131" s="2160"/>
      <c r="R131" s="2162"/>
    </row>
    <row r="132" spans="2:18" s="2133" customFormat="1">
      <c r="B132" s="2160"/>
      <c r="C132" s="2160"/>
      <c r="D132" s="2160"/>
      <c r="E132" s="2160"/>
      <c r="F132" s="2160"/>
      <c r="G132" s="2161"/>
      <c r="H132" s="2160"/>
      <c r="I132" s="2161"/>
      <c r="J132" s="2160"/>
      <c r="K132" s="2160"/>
      <c r="L132" s="2161"/>
      <c r="M132" s="2160"/>
      <c r="N132" s="2160"/>
      <c r="O132" s="2161"/>
      <c r="P132" s="2160"/>
      <c r="Q132" s="2160"/>
      <c r="R132" s="2162"/>
    </row>
    <row r="133" spans="2:18" s="2133" customFormat="1">
      <c r="B133" s="2160"/>
      <c r="C133" s="2160"/>
      <c r="D133" s="2160"/>
      <c r="E133" s="2160"/>
      <c r="F133" s="2160"/>
      <c r="G133" s="2161"/>
      <c r="H133" s="2160"/>
      <c r="I133" s="2161"/>
      <c r="J133" s="2160"/>
      <c r="K133" s="2160"/>
      <c r="L133" s="2161"/>
      <c r="M133" s="2160"/>
      <c r="N133" s="2160"/>
      <c r="O133" s="2161"/>
      <c r="P133" s="2160"/>
      <c r="Q133" s="2160"/>
      <c r="R133" s="2162"/>
    </row>
    <row r="134" spans="2:18" s="2133" customFormat="1">
      <c r="B134" s="2160"/>
      <c r="C134" s="2160"/>
      <c r="D134" s="2160"/>
      <c r="E134" s="2160"/>
      <c r="F134" s="2160"/>
      <c r="G134" s="2161"/>
      <c r="H134" s="2160"/>
      <c r="I134" s="2161"/>
      <c r="J134" s="2160"/>
      <c r="K134" s="2160"/>
      <c r="L134" s="2161"/>
      <c r="M134" s="2160"/>
      <c r="N134" s="2160"/>
      <c r="O134" s="2161"/>
      <c r="P134" s="2160"/>
      <c r="Q134" s="2160"/>
      <c r="R134" s="2162"/>
    </row>
    <row r="135" spans="2:18" s="2133" customFormat="1">
      <c r="B135" s="2160"/>
      <c r="C135" s="2160"/>
      <c r="D135" s="2160"/>
      <c r="E135" s="2160"/>
      <c r="F135" s="2160"/>
      <c r="G135" s="2161"/>
      <c r="H135" s="2160"/>
      <c r="I135" s="2161"/>
      <c r="J135" s="2160"/>
      <c r="K135" s="2160"/>
      <c r="L135" s="2161"/>
      <c r="M135" s="2160"/>
      <c r="N135" s="2160"/>
      <c r="O135" s="2161"/>
      <c r="P135" s="2160"/>
      <c r="Q135" s="2160"/>
      <c r="R135" s="2162"/>
    </row>
    <row r="136" spans="2:18" s="2133" customFormat="1">
      <c r="B136" s="2160"/>
      <c r="C136" s="2160"/>
      <c r="D136" s="2160"/>
      <c r="E136" s="2160"/>
      <c r="F136" s="2160"/>
      <c r="G136" s="2161"/>
      <c r="H136" s="2160"/>
      <c r="I136" s="2161"/>
      <c r="J136" s="2160"/>
      <c r="K136" s="2160"/>
      <c r="L136" s="2161"/>
      <c r="M136" s="2160"/>
      <c r="N136" s="2160"/>
      <c r="O136" s="2161"/>
      <c r="P136" s="2160"/>
      <c r="Q136" s="2160"/>
      <c r="R136" s="2162"/>
    </row>
    <row r="137" spans="2:18" s="2133" customFormat="1">
      <c r="B137" s="2160"/>
      <c r="C137" s="2160"/>
      <c r="D137" s="2160"/>
      <c r="E137" s="2160"/>
      <c r="F137" s="2160"/>
      <c r="G137" s="2161"/>
      <c r="H137" s="2160"/>
      <c r="I137" s="2161"/>
      <c r="J137" s="2160"/>
      <c r="K137" s="2160"/>
      <c r="L137" s="2161"/>
      <c r="M137" s="2160"/>
      <c r="N137" s="2160"/>
      <c r="O137" s="2161"/>
      <c r="P137" s="2160"/>
      <c r="Q137" s="2160"/>
      <c r="R137" s="2162"/>
    </row>
    <row r="138" spans="2:18" s="2133" customFormat="1">
      <c r="B138" s="2160"/>
      <c r="C138" s="2160"/>
      <c r="D138" s="2160"/>
      <c r="E138" s="2160"/>
      <c r="F138" s="2160"/>
      <c r="G138" s="2161"/>
      <c r="H138" s="2160"/>
      <c r="I138" s="2161"/>
      <c r="J138" s="2160"/>
      <c r="K138" s="2160"/>
      <c r="L138" s="2161"/>
      <c r="M138" s="2160"/>
      <c r="N138" s="2160"/>
      <c r="O138" s="2161"/>
      <c r="P138" s="2160"/>
      <c r="Q138" s="2160"/>
      <c r="R138" s="2162"/>
    </row>
    <row r="139" spans="2:18" s="2133" customFormat="1">
      <c r="B139" s="2160"/>
      <c r="C139" s="2160"/>
      <c r="D139" s="2160"/>
      <c r="E139" s="2160"/>
      <c r="F139" s="2160"/>
      <c r="G139" s="2161"/>
      <c r="H139" s="2160"/>
      <c r="I139" s="2161"/>
      <c r="J139" s="2160"/>
      <c r="K139" s="2160"/>
      <c r="L139" s="2161"/>
      <c r="M139" s="2160"/>
      <c r="N139" s="2160"/>
      <c r="O139" s="2161"/>
      <c r="P139" s="2160"/>
      <c r="Q139" s="2160"/>
      <c r="R139" s="2162"/>
    </row>
    <row r="140" spans="2:18" s="2133" customFormat="1">
      <c r="B140" s="2160"/>
      <c r="C140" s="2160"/>
      <c r="D140" s="2160"/>
      <c r="E140" s="2160"/>
      <c r="F140" s="2160"/>
      <c r="G140" s="2161"/>
      <c r="H140" s="2160"/>
      <c r="I140" s="2161"/>
      <c r="J140" s="2160"/>
      <c r="K140" s="2160"/>
      <c r="L140" s="2161"/>
      <c r="M140" s="2160"/>
      <c r="N140" s="2160"/>
      <c r="O140" s="2161"/>
      <c r="P140" s="2160"/>
      <c r="Q140" s="2160"/>
      <c r="R140" s="2162"/>
    </row>
    <row r="141" spans="2:18" s="2133" customFormat="1">
      <c r="B141" s="2160"/>
      <c r="C141" s="2160"/>
      <c r="D141" s="2160"/>
      <c r="E141" s="2160"/>
      <c r="F141" s="2160"/>
      <c r="G141" s="2161"/>
      <c r="H141" s="2160"/>
      <c r="I141" s="2161"/>
      <c r="J141" s="2160"/>
      <c r="K141" s="2160"/>
      <c r="L141" s="2161"/>
      <c r="M141" s="2160"/>
      <c r="N141" s="2160"/>
      <c r="O141" s="2161"/>
      <c r="P141" s="2160"/>
      <c r="Q141" s="2160"/>
      <c r="R141" s="2162"/>
    </row>
    <row r="142" spans="2:18" s="2133" customFormat="1">
      <c r="B142" s="2160"/>
      <c r="C142" s="2160"/>
      <c r="D142" s="2160"/>
      <c r="E142" s="2160"/>
      <c r="F142" s="2160"/>
      <c r="G142" s="2161"/>
      <c r="H142" s="2160"/>
      <c r="I142" s="2161"/>
      <c r="J142" s="2160"/>
      <c r="K142" s="2160"/>
      <c r="L142" s="2161"/>
      <c r="M142" s="2160"/>
      <c r="N142" s="2160"/>
      <c r="O142" s="2161"/>
      <c r="P142" s="2160"/>
      <c r="Q142" s="2160"/>
      <c r="R142" s="2162"/>
    </row>
    <row r="143" spans="2:18" s="2133" customFormat="1">
      <c r="B143" s="2160"/>
      <c r="C143" s="2160"/>
      <c r="D143" s="2160"/>
      <c r="E143" s="2160"/>
      <c r="F143" s="2160"/>
      <c r="G143" s="2161"/>
      <c r="H143" s="2160"/>
      <c r="I143" s="2161"/>
      <c r="J143" s="2160"/>
      <c r="K143" s="2160"/>
      <c r="L143" s="2161"/>
      <c r="M143" s="2160"/>
      <c r="N143" s="2160"/>
      <c r="O143" s="2161"/>
      <c r="P143" s="2160"/>
      <c r="Q143" s="2160"/>
      <c r="R143" s="2162"/>
    </row>
    <row r="144" spans="2:18" s="2133" customFormat="1">
      <c r="B144" s="2160"/>
      <c r="C144" s="2160"/>
      <c r="D144" s="2160"/>
      <c r="E144" s="2160"/>
      <c r="F144" s="2160"/>
      <c r="G144" s="2161"/>
      <c r="H144" s="2160"/>
      <c r="I144" s="2161"/>
      <c r="J144" s="2160"/>
      <c r="K144" s="2160"/>
      <c r="L144" s="2161"/>
      <c r="M144" s="2160"/>
      <c r="N144" s="2160"/>
      <c r="O144" s="2161"/>
      <c r="P144" s="2160"/>
      <c r="Q144" s="2160"/>
      <c r="R144" s="2162"/>
    </row>
    <row r="145" spans="2:18" s="2133" customFormat="1">
      <c r="B145" s="2160"/>
      <c r="C145" s="2160"/>
      <c r="D145" s="2160"/>
      <c r="E145" s="2160"/>
      <c r="F145" s="2160"/>
      <c r="G145" s="2161"/>
      <c r="H145" s="2160"/>
      <c r="I145" s="2161"/>
      <c r="J145" s="2160"/>
      <c r="K145" s="2160"/>
      <c r="L145" s="2161"/>
      <c r="M145" s="2160"/>
      <c r="N145" s="2160"/>
      <c r="O145" s="2161"/>
      <c r="P145" s="2160"/>
      <c r="Q145" s="2160"/>
      <c r="R145" s="2162"/>
    </row>
    <row r="146" spans="2:18" s="2133" customFormat="1">
      <c r="B146" s="2160"/>
      <c r="C146" s="2160"/>
      <c r="D146" s="2160"/>
      <c r="E146" s="2160"/>
      <c r="F146" s="2160"/>
      <c r="G146" s="2161"/>
      <c r="H146" s="2160"/>
      <c r="I146" s="2161"/>
      <c r="J146" s="2160"/>
      <c r="K146" s="2160"/>
      <c r="L146" s="2161"/>
      <c r="M146" s="2160"/>
      <c r="N146" s="2160"/>
      <c r="O146" s="2161"/>
      <c r="P146" s="2160"/>
      <c r="Q146" s="2160"/>
      <c r="R146" s="2162"/>
    </row>
    <row r="147" spans="2:18" s="2133" customFormat="1">
      <c r="B147" s="2160"/>
      <c r="C147" s="2160"/>
      <c r="D147" s="2160"/>
      <c r="E147" s="2160"/>
      <c r="F147" s="2160"/>
      <c r="G147" s="2161"/>
      <c r="H147" s="2160"/>
      <c r="I147" s="2161"/>
      <c r="J147" s="2160"/>
      <c r="K147" s="2160"/>
      <c r="L147" s="2161"/>
      <c r="M147" s="2160"/>
      <c r="N147" s="2160"/>
      <c r="O147" s="2161"/>
      <c r="P147" s="2160"/>
      <c r="Q147" s="2160"/>
      <c r="R147" s="2162"/>
    </row>
    <row r="148" spans="2:18" s="2133" customFormat="1">
      <c r="B148" s="2160"/>
      <c r="C148" s="2160"/>
      <c r="D148" s="2160"/>
      <c r="E148" s="2160"/>
      <c r="F148" s="2160"/>
      <c r="G148" s="2161"/>
      <c r="H148" s="2160"/>
      <c r="I148" s="2161"/>
      <c r="J148" s="2160"/>
      <c r="K148" s="2160"/>
      <c r="L148" s="2161"/>
      <c r="M148" s="2160"/>
      <c r="N148" s="2160"/>
      <c r="O148" s="2161"/>
      <c r="P148" s="2160"/>
      <c r="Q148" s="2160"/>
      <c r="R148" s="2162"/>
    </row>
    <row r="149" spans="2:18" s="2133" customFormat="1">
      <c r="B149" s="2160"/>
      <c r="C149" s="2160"/>
      <c r="D149" s="2160"/>
      <c r="E149" s="2160"/>
      <c r="F149" s="2160"/>
      <c r="G149" s="2161"/>
      <c r="H149" s="2160"/>
      <c r="I149" s="2161"/>
      <c r="J149" s="2160"/>
      <c r="K149" s="2160"/>
      <c r="L149" s="2161"/>
      <c r="M149" s="2160"/>
      <c r="N149" s="2160"/>
      <c r="O149" s="2161"/>
      <c r="P149" s="2160"/>
      <c r="Q149" s="2160"/>
      <c r="R149" s="2162"/>
    </row>
    <row r="150" spans="2:18" s="2133" customFormat="1">
      <c r="B150" s="2160"/>
      <c r="C150" s="2160"/>
      <c r="D150" s="2160"/>
      <c r="E150" s="2160"/>
      <c r="F150" s="2160"/>
      <c r="G150" s="2161"/>
      <c r="H150" s="2160"/>
      <c r="I150" s="2161"/>
      <c r="J150" s="2160"/>
      <c r="K150" s="2160"/>
      <c r="L150" s="2161"/>
      <c r="M150" s="2160"/>
      <c r="N150" s="2160"/>
      <c r="O150" s="2161"/>
      <c r="P150" s="2160"/>
      <c r="Q150" s="2160"/>
      <c r="R150" s="2162"/>
    </row>
    <row r="151" spans="2:18" s="2133" customFormat="1">
      <c r="B151" s="2160"/>
      <c r="C151" s="2160"/>
      <c r="D151" s="2160"/>
      <c r="E151" s="2160"/>
      <c r="F151" s="2160"/>
      <c r="G151" s="2161"/>
      <c r="H151" s="2160"/>
      <c r="I151" s="2161"/>
      <c r="J151" s="2160"/>
      <c r="K151" s="2160"/>
      <c r="L151" s="2161"/>
      <c r="M151" s="2160"/>
      <c r="N151" s="2160"/>
      <c r="O151" s="2161"/>
      <c r="P151" s="2160"/>
      <c r="Q151" s="2160"/>
      <c r="R151" s="2162"/>
    </row>
    <row r="152" spans="2:18" s="2133" customFormat="1">
      <c r="B152" s="2160"/>
      <c r="C152" s="2160"/>
      <c r="D152" s="2160"/>
      <c r="E152" s="2160"/>
      <c r="F152" s="2160"/>
      <c r="G152" s="2161"/>
      <c r="H152" s="2160"/>
      <c r="I152" s="2161"/>
      <c r="J152" s="2160"/>
      <c r="K152" s="2160"/>
      <c r="L152" s="2161"/>
      <c r="M152" s="2160"/>
      <c r="N152" s="2160"/>
      <c r="O152" s="2161"/>
      <c r="P152" s="2160"/>
      <c r="Q152" s="2160"/>
      <c r="R152" s="2162"/>
    </row>
    <row r="153" spans="2:18" s="2133" customFormat="1">
      <c r="B153" s="2160"/>
      <c r="C153" s="2160"/>
      <c r="D153" s="2160"/>
      <c r="E153" s="2160"/>
      <c r="F153" s="2160"/>
      <c r="G153" s="2161"/>
      <c r="H153" s="2160"/>
      <c r="I153" s="2161"/>
      <c r="J153" s="2160"/>
      <c r="K153" s="2160"/>
      <c r="L153" s="2161"/>
      <c r="M153" s="2160"/>
      <c r="N153" s="2160"/>
      <c r="O153" s="2161"/>
      <c r="P153" s="2160"/>
      <c r="Q153" s="2160"/>
      <c r="R153" s="2162"/>
    </row>
    <row r="154" spans="2:18" s="2133" customFormat="1">
      <c r="B154" s="2160"/>
      <c r="C154" s="2160"/>
      <c r="D154" s="2160"/>
      <c r="E154" s="2160"/>
      <c r="F154" s="2160"/>
      <c r="G154" s="2161"/>
      <c r="H154" s="2160"/>
      <c r="I154" s="2161"/>
      <c r="J154" s="2160"/>
      <c r="K154" s="2160"/>
      <c r="L154" s="2161"/>
      <c r="M154" s="2160"/>
      <c r="N154" s="2160"/>
      <c r="O154" s="2161"/>
      <c r="P154" s="2160"/>
      <c r="Q154" s="2160"/>
      <c r="R154" s="2162"/>
    </row>
    <row r="155" spans="2:18" s="2133" customFormat="1">
      <c r="B155" s="2160"/>
      <c r="C155" s="2160"/>
      <c r="D155" s="2160"/>
      <c r="E155" s="2160"/>
      <c r="F155" s="2160"/>
      <c r="G155" s="2161"/>
      <c r="H155" s="2160"/>
      <c r="I155" s="2161"/>
      <c r="J155" s="2160"/>
      <c r="K155" s="2160"/>
      <c r="L155" s="2161"/>
      <c r="M155" s="2160"/>
      <c r="N155" s="2160"/>
      <c r="O155" s="2161"/>
      <c r="P155" s="2160"/>
      <c r="Q155" s="2160"/>
      <c r="R155" s="2162"/>
    </row>
    <row r="156" spans="2:18" s="2133" customFormat="1">
      <c r="B156" s="2160"/>
      <c r="C156" s="2160"/>
      <c r="D156" s="2160"/>
      <c r="E156" s="2160"/>
      <c r="F156" s="2160"/>
      <c r="G156" s="2161"/>
      <c r="H156" s="2160"/>
      <c r="I156" s="2161"/>
      <c r="J156" s="2160"/>
      <c r="K156" s="2160"/>
      <c r="L156" s="2161"/>
      <c r="M156" s="2160"/>
      <c r="N156" s="2160"/>
      <c r="O156" s="2161"/>
      <c r="P156" s="2160"/>
      <c r="Q156" s="2160"/>
      <c r="R156" s="2162"/>
    </row>
    <row r="157" spans="2:18" s="2133" customFormat="1">
      <c r="B157" s="2160"/>
      <c r="C157" s="2160"/>
      <c r="D157" s="2160"/>
      <c r="E157" s="2160"/>
      <c r="F157" s="2160"/>
      <c r="G157" s="2161"/>
      <c r="H157" s="2160"/>
      <c r="I157" s="2161"/>
      <c r="J157" s="2160"/>
      <c r="K157" s="2160"/>
      <c r="L157" s="2161"/>
      <c r="M157" s="2160"/>
      <c r="N157" s="2160"/>
      <c r="O157" s="2161"/>
      <c r="P157" s="2160"/>
      <c r="Q157" s="2160"/>
      <c r="R157" s="2162"/>
    </row>
    <row r="158" spans="2:18" s="2133" customFormat="1">
      <c r="B158" s="2160"/>
      <c r="C158" s="2160"/>
      <c r="D158" s="2160"/>
      <c r="E158" s="2160"/>
      <c r="F158" s="2160"/>
      <c r="G158" s="2161"/>
      <c r="H158" s="2160"/>
      <c r="I158" s="2161"/>
      <c r="J158" s="2160"/>
      <c r="K158" s="2160"/>
      <c r="L158" s="2161"/>
      <c r="M158" s="2160"/>
      <c r="N158" s="2160"/>
      <c r="O158" s="2161"/>
      <c r="P158" s="2160"/>
      <c r="Q158" s="2160"/>
      <c r="R158" s="2162"/>
    </row>
    <row r="159" spans="2:18" s="2133" customFormat="1">
      <c r="B159" s="2160"/>
      <c r="C159" s="2160"/>
      <c r="D159" s="2160"/>
      <c r="E159" s="2160"/>
      <c r="F159" s="2160"/>
      <c r="G159" s="2161"/>
      <c r="H159" s="2160"/>
      <c r="I159" s="2161"/>
      <c r="J159" s="2160"/>
      <c r="K159" s="2160"/>
      <c r="L159" s="2161"/>
      <c r="M159" s="2160"/>
      <c r="N159" s="2160"/>
      <c r="O159" s="2161"/>
      <c r="P159" s="2160"/>
      <c r="Q159" s="2160"/>
      <c r="R159" s="2162"/>
    </row>
    <row r="160" spans="2:18" s="2133" customFormat="1">
      <c r="B160" s="2160"/>
      <c r="C160" s="2160"/>
      <c r="D160" s="2160"/>
      <c r="E160" s="2160"/>
      <c r="F160" s="2160"/>
      <c r="G160" s="2161"/>
      <c r="H160" s="2160"/>
      <c r="I160" s="2161"/>
      <c r="J160" s="2160"/>
      <c r="K160" s="2160"/>
      <c r="L160" s="2161"/>
      <c r="M160" s="2160"/>
      <c r="N160" s="2160"/>
      <c r="O160" s="2161"/>
      <c r="P160" s="2160"/>
      <c r="Q160" s="2160"/>
      <c r="R160" s="2162"/>
    </row>
    <row r="161" spans="2:18" s="2133" customFormat="1">
      <c r="B161" s="2160"/>
      <c r="C161" s="2160"/>
      <c r="D161" s="2160"/>
      <c r="E161" s="2160"/>
      <c r="F161" s="2160"/>
      <c r="G161" s="2161"/>
      <c r="H161" s="2160"/>
      <c r="I161" s="2161"/>
      <c r="J161" s="2160"/>
      <c r="K161" s="2160"/>
      <c r="L161" s="2161"/>
      <c r="M161" s="2160"/>
      <c r="N161" s="2160"/>
      <c r="O161" s="2161"/>
      <c r="P161" s="2160"/>
      <c r="Q161" s="2160"/>
      <c r="R161" s="2162"/>
    </row>
    <row r="162" spans="2:18" s="2133" customFormat="1">
      <c r="B162" s="2160"/>
      <c r="C162" s="2160"/>
      <c r="D162" s="2160"/>
      <c r="E162" s="2160"/>
      <c r="F162" s="2160"/>
      <c r="G162" s="2161"/>
      <c r="H162" s="2160"/>
      <c r="I162" s="2161"/>
      <c r="J162" s="2160"/>
      <c r="K162" s="2160"/>
      <c r="L162" s="2161"/>
      <c r="M162" s="2160"/>
      <c r="N162" s="2160"/>
      <c r="O162" s="2161"/>
      <c r="P162" s="2160"/>
      <c r="Q162" s="2160"/>
      <c r="R162" s="2162"/>
    </row>
    <row r="163" spans="2:18" s="2133" customFormat="1">
      <c r="B163" s="2160"/>
      <c r="C163" s="2160"/>
      <c r="D163" s="2160"/>
      <c r="E163" s="2160"/>
      <c r="F163" s="2160"/>
      <c r="G163" s="2161"/>
      <c r="H163" s="2160"/>
      <c r="I163" s="2161"/>
      <c r="J163" s="2160"/>
      <c r="K163" s="2160"/>
      <c r="L163" s="2161"/>
      <c r="M163" s="2160"/>
      <c r="N163" s="2160"/>
      <c r="O163" s="2161"/>
      <c r="P163" s="2160"/>
      <c r="Q163" s="2160"/>
      <c r="R163" s="2162"/>
    </row>
    <row r="164" spans="2:18" s="2133" customFormat="1">
      <c r="B164" s="2160"/>
      <c r="C164" s="2160"/>
      <c r="D164" s="2160"/>
      <c r="E164" s="2160"/>
      <c r="F164" s="2160"/>
      <c r="G164" s="2161"/>
      <c r="H164" s="2160"/>
      <c r="I164" s="2161"/>
      <c r="J164" s="2160"/>
      <c r="K164" s="2160"/>
      <c r="L164" s="2161"/>
      <c r="M164" s="2160"/>
      <c r="N164" s="2160"/>
      <c r="O164" s="2161"/>
      <c r="P164" s="2160"/>
      <c r="Q164" s="2160"/>
      <c r="R164" s="2162"/>
    </row>
    <row r="165" spans="2:18" s="2133" customFormat="1">
      <c r="B165" s="2160"/>
      <c r="C165" s="2160"/>
      <c r="D165" s="2160"/>
      <c r="E165" s="2160"/>
      <c r="F165" s="2160"/>
      <c r="G165" s="2161"/>
      <c r="H165" s="2160"/>
      <c r="I165" s="2161"/>
      <c r="J165" s="2160"/>
      <c r="K165" s="2160"/>
      <c r="L165" s="2161"/>
      <c r="M165" s="2160"/>
      <c r="N165" s="2160"/>
      <c r="O165" s="2161"/>
      <c r="P165" s="2160"/>
      <c r="Q165" s="2160"/>
      <c r="R165" s="2162"/>
    </row>
    <row r="166" spans="2:18" s="2133" customFormat="1">
      <c r="B166" s="2160"/>
      <c r="C166" s="2160"/>
      <c r="D166" s="2160"/>
      <c r="E166" s="2160"/>
      <c r="F166" s="2160"/>
      <c r="G166" s="2161"/>
      <c r="H166" s="2160"/>
      <c r="I166" s="2161"/>
      <c r="J166" s="2160"/>
      <c r="K166" s="2160"/>
      <c r="L166" s="2161"/>
      <c r="M166" s="2160"/>
      <c r="N166" s="2160"/>
      <c r="O166" s="2161"/>
      <c r="P166" s="2160"/>
      <c r="Q166" s="2160"/>
      <c r="R166" s="2162"/>
    </row>
    <row r="167" spans="2:18" s="2133" customFormat="1">
      <c r="B167" s="2160"/>
      <c r="C167" s="2160"/>
      <c r="D167" s="2160"/>
      <c r="E167" s="2160"/>
      <c r="F167" s="2160"/>
      <c r="G167" s="2161"/>
      <c r="H167" s="2160"/>
      <c r="I167" s="2161"/>
      <c r="J167" s="2160"/>
      <c r="K167" s="2160"/>
      <c r="L167" s="2161"/>
      <c r="M167" s="2160"/>
      <c r="N167" s="2160"/>
      <c r="O167" s="2161"/>
      <c r="P167" s="2160"/>
      <c r="Q167" s="2160"/>
      <c r="R167" s="2162"/>
    </row>
    <row r="168" spans="2:18" s="2133" customFormat="1">
      <c r="B168" s="2160"/>
      <c r="C168" s="2160"/>
      <c r="D168" s="2160"/>
      <c r="E168" s="2160"/>
      <c r="F168" s="2160"/>
      <c r="G168" s="2161"/>
      <c r="H168" s="2160"/>
      <c r="I168" s="2161"/>
      <c r="J168" s="2160"/>
      <c r="K168" s="2160"/>
      <c r="L168" s="2161"/>
      <c r="M168" s="2160"/>
      <c r="N168" s="2160"/>
      <c r="O168" s="2161"/>
      <c r="P168" s="2160"/>
      <c r="Q168" s="2160"/>
      <c r="R168" s="2162"/>
    </row>
    <row r="169" spans="2:18" s="2133" customFormat="1">
      <c r="B169" s="2160"/>
      <c r="C169" s="2160"/>
      <c r="D169" s="2160"/>
      <c r="E169" s="2160"/>
      <c r="F169" s="2160"/>
      <c r="G169" s="2161"/>
      <c r="H169" s="2160"/>
      <c r="I169" s="2161"/>
      <c r="J169" s="2160"/>
      <c r="K169" s="2160"/>
      <c r="L169" s="2161"/>
      <c r="M169" s="2160"/>
      <c r="N169" s="2160"/>
      <c r="O169" s="2161"/>
      <c r="P169" s="2160"/>
      <c r="Q169" s="2160"/>
      <c r="R169" s="2162"/>
    </row>
    <row r="170" spans="2:18" s="2133" customFormat="1">
      <c r="B170" s="2160"/>
      <c r="C170" s="2160"/>
      <c r="D170" s="2160"/>
      <c r="E170" s="2160"/>
      <c r="F170" s="2160"/>
      <c r="G170" s="2161"/>
      <c r="H170" s="2160"/>
      <c r="I170" s="2161"/>
      <c r="J170" s="2160"/>
      <c r="K170" s="2160"/>
      <c r="L170" s="2161"/>
      <c r="M170" s="2160"/>
      <c r="N170" s="2160"/>
      <c r="O170" s="2161"/>
      <c r="P170" s="2160"/>
      <c r="Q170" s="2160"/>
      <c r="R170" s="2162"/>
    </row>
    <row r="171" spans="2:18" s="2133" customFormat="1">
      <c r="B171" s="2160"/>
      <c r="C171" s="2160"/>
      <c r="D171" s="2160"/>
      <c r="E171" s="2160"/>
      <c r="F171" s="2160"/>
      <c r="G171" s="2161"/>
      <c r="H171" s="2160"/>
      <c r="I171" s="2161"/>
      <c r="J171" s="2160"/>
      <c r="K171" s="2160"/>
      <c r="L171" s="2161"/>
      <c r="M171" s="2160"/>
      <c r="N171" s="2160"/>
      <c r="O171" s="2161"/>
      <c r="P171" s="2160"/>
      <c r="Q171" s="2160"/>
      <c r="R171" s="2162"/>
    </row>
    <row r="172" spans="2:18" s="2133" customFormat="1">
      <c r="B172" s="2160"/>
      <c r="C172" s="2160"/>
      <c r="D172" s="2160"/>
      <c r="E172" s="2160"/>
      <c r="F172" s="2160"/>
      <c r="G172" s="2161"/>
      <c r="H172" s="2160"/>
      <c r="I172" s="2161"/>
      <c r="J172" s="2160"/>
      <c r="K172" s="2160"/>
      <c r="L172" s="2161"/>
      <c r="M172" s="2160"/>
      <c r="N172" s="2160"/>
      <c r="O172" s="2161"/>
      <c r="P172" s="2160"/>
      <c r="Q172" s="2160"/>
      <c r="R172" s="2162"/>
    </row>
    <row r="173" spans="2:18" s="2133" customFormat="1">
      <c r="B173" s="2160"/>
      <c r="C173" s="2160"/>
      <c r="D173" s="2160"/>
      <c r="E173" s="2160"/>
      <c r="F173" s="2160"/>
      <c r="G173" s="2161"/>
      <c r="H173" s="2160"/>
      <c r="I173" s="2161"/>
      <c r="J173" s="2160"/>
      <c r="K173" s="2160"/>
      <c r="L173" s="2161"/>
      <c r="M173" s="2160"/>
      <c r="N173" s="2160"/>
      <c r="O173" s="2161"/>
      <c r="P173" s="2160"/>
      <c r="Q173" s="2160"/>
      <c r="R173" s="2162"/>
    </row>
    <row r="174" spans="2:18" s="2133" customFormat="1">
      <c r="B174" s="2160"/>
      <c r="C174" s="2160"/>
      <c r="D174" s="2160"/>
      <c r="E174" s="2160"/>
      <c r="F174" s="2160"/>
      <c r="G174" s="2161"/>
      <c r="H174" s="2160"/>
      <c r="I174" s="2161"/>
      <c r="J174" s="2160"/>
      <c r="K174" s="2160"/>
      <c r="L174" s="2161"/>
      <c r="M174" s="2160"/>
      <c r="N174" s="2160"/>
      <c r="O174" s="2161"/>
      <c r="P174" s="2160"/>
      <c r="Q174" s="2160"/>
      <c r="R174" s="2162"/>
    </row>
    <row r="175" spans="2:18" s="2133" customFormat="1">
      <c r="B175" s="2160"/>
      <c r="C175" s="2160"/>
      <c r="D175" s="2160"/>
      <c r="E175" s="2160"/>
      <c r="F175" s="2160"/>
      <c r="G175" s="2161"/>
      <c r="H175" s="2160"/>
      <c r="I175" s="2161"/>
      <c r="J175" s="2160"/>
      <c r="K175" s="2160"/>
      <c r="L175" s="2161"/>
      <c r="M175" s="2160"/>
      <c r="N175" s="2160"/>
      <c r="O175" s="2161"/>
      <c r="P175" s="2160"/>
      <c r="Q175" s="2160"/>
      <c r="R175" s="2162"/>
    </row>
    <row r="176" spans="2:18" s="2133" customFormat="1">
      <c r="B176" s="2160"/>
      <c r="C176" s="2160"/>
      <c r="D176" s="2160"/>
      <c r="E176" s="2160"/>
      <c r="F176" s="2160"/>
      <c r="G176" s="2161"/>
      <c r="H176" s="2160"/>
      <c r="I176" s="2161"/>
      <c r="J176" s="2160"/>
      <c r="K176" s="2160"/>
      <c r="L176" s="2161"/>
      <c r="M176" s="2160"/>
      <c r="N176" s="2160"/>
      <c r="O176" s="2161"/>
      <c r="P176" s="2160"/>
      <c r="Q176" s="2160"/>
      <c r="R176" s="2162"/>
    </row>
    <row r="177" spans="1:18" s="2133" customFormat="1">
      <c r="B177" s="2160"/>
      <c r="C177" s="2160"/>
      <c r="D177" s="2160"/>
      <c r="E177" s="2160"/>
      <c r="F177" s="2160"/>
      <c r="G177" s="2161"/>
      <c r="H177" s="2160"/>
      <c r="I177" s="2161"/>
      <c r="J177" s="2160"/>
      <c r="K177" s="2160"/>
      <c r="L177" s="2161"/>
      <c r="M177" s="2160"/>
      <c r="N177" s="2160"/>
      <c r="O177" s="2161"/>
      <c r="P177" s="2160"/>
      <c r="Q177" s="2160"/>
      <c r="R177" s="2162"/>
    </row>
    <row r="178" spans="1:18" s="2133" customFormat="1">
      <c r="B178" s="2160"/>
      <c r="C178" s="2160"/>
      <c r="D178" s="2160"/>
      <c r="E178" s="2160"/>
      <c r="F178" s="2160"/>
      <c r="G178" s="2161"/>
      <c r="H178" s="2160"/>
      <c r="I178" s="2161"/>
      <c r="J178" s="2160"/>
      <c r="K178" s="2160"/>
      <c r="L178" s="2161"/>
      <c r="M178" s="2160"/>
      <c r="N178" s="2160"/>
      <c r="O178" s="2161"/>
      <c r="P178" s="2160"/>
      <c r="Q178" s="2160"/>
      <c r="R178" s="2162"/>
    </row>
    <row r="179" spans="1:18" s="2133" customFormat="1">
      <c r="B179" s="2160"/>
      <c r="C179" s="2160"/>
      <c r="D179" s="2160"/>
      <c r="E179" s="2160"/>
      <c r="F179" s="2160"/>
      <c r="G179" s="2161"/>
      <c r="H179" s="2160"/>
      <c r="I179" s="2161"/>
      <c r="J179" s="2160"/>
      <c r="K179" s="2160"/>
      <c r="L179" s="2161"/>
      <c r="M179" s="2160"/>
      <c r="N179" s="2160"/>
      <c r="O179" s="2161"/>
      <c r="P179" s="2160"/>
      <c r="Q179" s="2160"/>
      <c r="R179" s="2162"/>
    </row>
    <row r="180" spans="1:18" s="2133" customFormat="1">
      <c r="B180" s="2160"/>
      <c r="C180" s="2160"/>
      <c r="D180" s="2160"/>
      <c r="E180" s="2160"/>
      <c r="F180" s="2160"/>
      <c r="G180" s="2161"/>
      <c r="H180" s="2160"/>
      <c r="I180" s="2161"/>
      <c r="J180" s="2160"/>
      <c r="K180" s="2160"/>
      <c r="L180" s="2161"/>
      <c r="M180" s="2160"/>
      <c r="N180" s="2160"/>
      <c r="O180" s="2161"/>
      <c r="P180" s="2160"/>
      <c r="Q180" s="2160"/>
      <c r="R180" s="2162"/>
    </row>
    <row r="181" spans="1:18" s="2133" customFormat="1">
      <c r="B181" s="2160"/>
      <c r="C181" s="2160"/>
      <c r="D181" s="2160"/>
      <c r="E181" s="2160"/>
      <c r="F181" s="2160"/>
      <c r="G181" s="2161"/>
      <c r="H181" s="2160"/>
      <c r="I181" s="2161"/>
      <c r="J181" s="2160"/>
      <c r="K181" s="2160"/>
      <c r="L181" s="2161"/>
      <c r="M181" s="2160"/>
      <c r="N181" s="2160"/>
      <c r="O181" s="2161"/>
      <c r="P181" s="2160"/>
      <c r="Q181" s="2160"/>
      <c r="R181" s="2162"/>
    </row>
    <row r="182" spans="1:18" s="2133" customFormat="1">
      <c r="B182" s="2160"/>
      <c r="C182" s="2160"/>
      <c r="D182" s="2160"/>
      <c r="E182" s="2160"/>
      <c r="F182" s="2160"/>
      <c r="G182" s="2161"/>
      <c r="H182" s="2160"/>
      <c r="I182" s="2161"/>
      <c r="J182" s="2160"/>
      <c r="K182" s="2160"/>
      <c r="L182" s="2161"/>
      <c r="M182" s="2160"/>
      <c r="N182" s="2160"/>
      <c r="O182" s="2161"/>
      <c r="P182" s="2160"/>
      <c r="Q182" s="2160"/>
      <c r="R182" s="2162"/>
    </row>
    <row r="183" spans="1:18" s="2133" customFormat="1">
      <c r="B183" s="2160"/>
      <c r="C183" s="2160"/>
      <c r="D183" s="2160"/>
      <c r="E183" s="2160"/>
      <c r="F183" s="2160"/>
      <c r="G183" s="2161"/>
      <c r="H183" s="2160"/>
      <c r="I183" s="2161"/>
      <c r="J183" s="2160"/>
      <c r="K183" s="2160"/>
      <c r="L183" s="2161"/>
      <c r="M183" s="2160"/>
      <c r="N183" s="2160"/>
      <c r="O183" s="2161"/>
      <c r="P183" s="2160"/>
      <c r="Q183" s="2160"/>
      <c r="R183" s="2162"/>
    </row>
    <row r="184" spans="1:18" s="2133" customFormat="1">
      <c r="B184" s="2160"/>
      <c r="C184" s="2160"/>
      <c r="D184" s="2160"/>
      <c r="E184" s="2160"/>
      <c r="F184" s="2160"/>
      <c r="G184" s="2161"/>
      <c r="H184" s="2160"/>
      <c r="I184" s="2161"/>
      <c r="J184" s="2160"/>
      <c r="K184" s="2160"/>
      <c r="L184" s="2161"/>
      <c r="M184" s="2160"/>
      <c r="N184" s="2160"/>
      <c r="O184" s="2161"/>
      <c r="P184" s="2160"/>
      <c r="Q184" s="2160"/>
      <c r="R184" s="2162"/>
    </row>
    <row r="185" spans="1:18" s="2133"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3"/>
      <c r="B186" s="2160"/>
      <c r="C186" s="2160"/>
      <c r="E186" s="2160"/>
      <c r="F186" s="2160"/>
      <c r="G186" s="2161"/>
    </row>
    <row r="187" spans="1:18">
      <c r="A187" s="2133"/>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1219</v>
      </c>
      <c r="B1" s="1825">
        <f>SUM(B14:B23)</f>
        <v>261.58999999999997</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43888</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3124.0646999999999</v>
      </c>
      <c r="C5" s="1825">
        <f ca="1">ROUND(B5*10000/$B$1,0)</f>
        <v>119426</v>
      </c>
      <c r="D5" s="1825" t="e">
        <f ca="1">ROUND(B5*10000/$B$2,0)</f>
        <v>#DIV/0!</v>
      </c>
      <c r="E5" s="1826"/>
      <c r="F5" s="1830"/>
      <c r="G5" s="1830"/>
    </row>
    <row r="6" spans="1:9" ht="16.5">
      <c r="A6" s="1825" t="s">
        <v>1227</v>
      </c>
      <c r="B6" s="1825">
        <f ca="1">SUM(G14:G23)</f>
        <v>3124.0646999999999</v>
      </c>
      <c r="C6" s="1825">
        <f t="shared" ref="C6:C8" ca="1" si="0">ROUND(B6*10000/$B$1,0)</f>
        <v>119426</v>
      </c>
      <c r="D6" s="1825" t="e">
        <f t="shared" ref="D6:D8" ca="1" si="1">ROUND(B6*10000/$B$2,0)</f>
        <v>#DIV/0!</v>
      </c>
      <c r="E6" s="1826"/>
      <c r="F6" s="1830"/>
      <c r="G6" s="1830"/>
    </row>
    <row r="7" spans="1:9" ht="16.5">
      <c r="A7" s="1825" t="s">
        <v>1228</v>
      </c>
      <c r="B7" s="1825" t="e">
        <f>SUM(H14:H23)</f>
        <v>#VALUE!</v>
      </c>
      <c r="C7" s="1825" t="e">
        <f>ROUND(B7*10000/$B$1,0)</f>
        <v>#VALUE!</v>
      </c>
      <c r="D7" s="1825" t="e">
        <f t="shared" si="1"/>
        <v>#VALUE!</v>
      </c>
      <c r="E7" s="1826"/>
      <c r="F7" s="1830"/>
      <c r="G7" s="1830"/>
    </row>
    <row r="8" spans="1:9" ht="16.5">
      <c r="A8" s="1825" t="s">
        <v>1229</v>
      </c>
      <c r="B8" s="1825" t="e">
        <f>SUM(I14:I23)</f>
        <v>#VALUE!</v>
      </c>
      <c r="C8" s="1825" t="e">
        <f t="shared" si="0"/>
        <v>#VALUE!</v>
      </c>
      <c r="D8" s="1825" t="e">
        <f t="shared" si="1"/>
        <v>#VALUE!</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1246</v>
      </c>
      <c r="B11" s="1831"/>
      <c r="C11" s="1826"/>
      <c r="D11" s="1826"/>
      <c r="E11" s="1826"/>
      <c r="F11" s="1830"/>
      <c r="G11" s="1830"/>
    </row>
    <row r="12" spans="1:9" ht="16.5">
      <c r="A12" s="1826"/>
      <c r="B12" s="1826"/>
      <c r="C12" s="1826"/>
      <c r="D12" s="1826"/>
      <c r="E12" s="1826"/>
      <c r="F12" s="1830"/>
      <c r="G12" s="1830"/>
    </row>
    <row r="13" spans="1:9" ht="33">
      <c r="A13" s="1835" t="s">
        <v>1245</v>
      </c>
      <c r="B13" s="1829" t="s">
        <v>1219</v>
      </c>
      <c r="C13" s="1829" t="s">
        <v>1220</v>
      </c>
      <c r="D13" s="1829" t="s">
        <v>1232</v>
      </c>
      <c r="E13" s="1825" t="s">
        <v>1224</v>
      </c>
      <c r="F13" s="1825" t="s">
        <v>1225</v>
      </c>
      <c r="G13" s="1829" t="s">
        <v>1233</v>
      </c>
      <c r="H13" s="1829" t="s">
        <v>1234</v>
      </c>
      <c r="I13" s="1829" t="s">
        <v>1235</v>
      </c>
    </row>
    <row r="14" spans="1:9" ht="16.5">
      <c r="A14" s="1832" t="s">
        <v>2920</v>
      </c>
      <c r="B14" s="1829">
        <f>项目基本情况!C12</f>
        <v>261.58999999999997</v>
      </c>
      <c r="C14" s="1829">
        <f>项目基本情况!C13</f>
        <v>0</v>
      </c>
      <c r="D14" s="1829">
        <f ca="1">IF('数据-取费表'!B3="万元",IF(A14="估价对象1（结果表）",结果表!H121,'结果表 (1修多)'!H124),IF(A14="估价对象1（结果表）",结果表!H121,'结果表 (1修多)'!H124)/10000)</f>
        <v>3124.0646999999999</v>
      </c>
      <c r="E14" s="1829">
        <f ca="1">ROUND(D14*10000/B14,0)</f>
        <v>119426</v>
      </c>
      <c r="F14" s="1829" t="e">
        <f ca="1">ROUND(D14*10000/C14,0)</f>
        <v>#DIV/0!</v>
      </c>
      <c r="G14" s="1829">
        <f ca="1">IF('数据-取费表'!B3="万元",IF(A14="估价对象1（结果表）",结果表!D125,'结果表 (1修多)'!D128),IF(A14="估价对象1（结果表）",结果表!D125,'结果表 (1修多)'!D128)/10000)</f>
        <v>3124.0646999999999</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1956</v>
      </c>
      <c r="B1" s="2186"/>
      <c r="C1" s="2186"/>
      <c r="D1" s="2186"/>
      <c r="E1" s="2186"/>
      <c r="F1" s="2186"/>
      <c r="G1" s="2186"/>
      <c r="H1" s="2186"/>
      <c r="I1" s="2186"/>
    </row>
    <row r="2" spans="1:12" ht="21.75" customHeight="1">
      <c r="A2" s="2893" t="s">
        <v>1957</v>
      </c>
      <c r="B2" s="2893"/>
      <c r="C2" s="2893"/>
      <c r="D2" s="2893"/>
      <c r="E2" s="2893"/>
      <c r="F2" s="2893"/>
      <c r="G2" s="2893"/>
      <c r="H2" s="2893"/>
      <c r="I2" s="2893"/>
    </row>
    <row r="3" spans="1:12" ht="12.75">
      <c r="A3" s="2894" t="s">
        <v>1761</v>
      </c>
      <c r="B3" s="2895"/>
      <c r="C3" s="2895"/>
      <c r="D3" s="2895"/>
      <c r="E3" s="2895"/>
      <c r="F3" s="2895"/>
      <c r="G3" s="2895"/>
      <c r="H3" s="2895"/>
      <c r="I3" s="2895"/>
    </row>
    <row r="4" spans="1:12" ht="14.25">
      <c r="A4" s="2188" t="s">
        <v>1762</v>
      </c>
      <c r="B4" s="2189" t="s">
        <v>1763</v>
      </c>
      <c r="C4" s="2190" t="s">
        <v>2904</v>
      </c>
      <c r="D4" s="2190" t="s">
        <v>2904</v>
      </c>
      <c r="E4" s="2896" t="s">
        <v>1958</v>
      </c>
      <c r="F4" s="2897"/>
      <c r="G4" s="2897"/>
      <c r="H4" s="2897"/>
      <c r="I4" s="2898"/>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4" t="s">
        <v>1765</v>
      </c>
      <c r="B5" s="2875">
        <v>25</v>
      </c>
      <c r="C5" s="2876"/>
      <c r="D5" s="2878"/>
      <c r="E5" s="56" t="s">
        <v>1766</v>
      </c>
      <c r="F5" s="2191"/>
      <c r="G5" s="2191"/>
      <c r="H5" s="2191"/>
      <c r="I5" s="2192"/>
    </row>
    <row r="6" spans="1:12" ht="12.75">
      <c r="A6" s="2874"/>
      <c r="B6" s="2875"/>
      <c r="C6" s="2899"/>
      <c r="D6" s="2878"/>
      <c r="E6" s="56" t="s">
        <v>1767</v>
      </c>
      <c r="F6" s="2191"/>
      <c r="G6" s="2191"/>
      <c r="H6" s="2191"/>
      <c r="I6" s="2192"/>
    </row>
    <row r="7" spans="1:12" ht="12.75">
      <c r="A7" s="2874"/>
      <c r="B7" s="2875"/>
      <c r="C7" s="2877"/>
      <c r="D7" s="2878"/>
      <c r="E7" s="56" t="s">
        <v>1768</v>
      </c>
      <c r="F7" s="2191"/>
      <c r="G7" s="2191"/>
      <c r="H7" s="2191"/>
      <c r="I7" s="2192"/>
    </row>
    <row r="8" spans="1:12" ht="12.75">
      <c r="A8" s="2874" t="s">
        <v>1769</v>
      </c>
      <c r="B8" s="2875">
        <v>15</v>
      </c>
      <c r="C8" s="2876"/>
      <c r="D8" s="2878"/>
      <c r="E8" s="56" t="s">
        <v>1770</v>
      </c>
      <c r="F8" s="2191"/>
      <c r="G8" s="2191"/>
      <c r="H8" s="2191"/>
      <c r="I8" s="2192"/>
    </row>
    <row r="9" spans="1:12" ht="12.75">
      <c r="A9" s="2874"/>
      <c r="B9" s="2875"/>
      <c r="C9" s="2877"/>
      <c r="D9" s="2878"/>
      <c r="E9" s="56" t="s">
        <v>1771</v>
      </c>
      <c r="F9" s="2191"/>
      <c r="G9" s="2191"/>
      <c r="H9" s="2191"/>
      <c r="I9" s="2192"/>
    </row>
    <row r="10" spans="1:12" ht="12.75">
      <c r="A10" s="2874" t="s">
        <v>1772</v>
      </c>
      <c r="B10" s="2875">
        <v>15</v>
      </c>
      <c r="C10" s="2876"/>
      <c r="D10" s="2878"/>
      <c r="E10" s="56" t="s">
        <v>1773</v>
      </c>
      <c r="F10" s="2191"/>
      <c r="G10" s="2191"/>
      <c r="H10" s="2191"/>
      <c r="I10" s="2192"/>
    </row>
    <row r="11" spans="1:12" ht="12.75">
      <c r="A11" s="2874"/>
      <c r="B11" s="2875"/>
      <c r="C11" s="2877"/>
      <c r="D11" s="2878"/>
      <c r="E11" s="56" t="s">
        <v>1774</v>
      </c>
      <c r="F11" s="2191"/>
      <c r="G11" s="2191"/>
      <c r="H11" s="2191"/>
      <c r="I11" s="2192"/>
    </row>
    <row r="12" spans="1:12" ht="12.75">
      <c r="A12" s="2874" t="s">
        <v>1775</v>
      </c>
      <c r="B12" s="2875">
        <v>15</v>
      </c>
      <c r="C12" s="2876"/>
      <c r="D12" s="2878"/>
      <c r="E12" s="56" t="s">
        <v>1776</v>
      </c>
      <c r="F12" s="2191"/>
      <c r="G12" s="2191"/>
      <c r="H12" s="2191"/>
      <c r="I12" s="2192"/>
    </row>
    <row r="13" spans="1:12" ht="12.75">
      <c r="A13" s="2874"/>
      <c r="B13" s="2875"/>
      <c r="C13" s="2877"/>
      <c r="D13" s="2878"/>
      <c r="E13" s="56" t="s">
        <v>1777</v>
      </c>
      <c r="F13" s="2191"/>
      <c r="G13" s="2191"/>
      <c r="H13" s="2191"/>
      <c r="I13" s="2192"/>
    </row>
    <row r="14" spans="1:12" ht="12.75">
      <c r="A14" s="2874" t="s">
        <v>1778</v>
      </c>
      <c r="B14" s="2875">
        <v>30</v>
      </c>
      <c r="C14" s="2876">
        <v>1</v>
      </c>
      <c r="D14" s="2878">
        <v>0</v>
      </c>
      <c r="E14" s="56" t="s">
        <v>1779</v>
      </c>
      <c r="F14" s="2191"/>
      <c r="G14" s="2191"/>
      <c r="H14" s="2191"/>
      <c r="I14" s="2192"/>
    </row>
    <row r="15" spans="1:12" ht="12.75">
      <c r="A15" s="2874"/>
      <c r="B15" s="2875"/>
      <c r="C15" s="2899"/>
      <c r="D15" s="2878"/>
      <c r="E15" s="56" t="s">
        <v>1780</v>
      </c>
      <c r="F15" s="2191"/>
      <c r="G15" s="2191"/>
      <c r="H15" s="2191"/>
      <c r="I15" s="2192"/>
    </row>
    <row r="16" spans="1:12" ht="12.75">
      <c r="A16" s="2874"/>
      <c r="B16" s="2875"/>
      <c r="C16" s="2877"/>
      <c r="D16" s="2878"/>
      <c r="E16" s="56" t="s">
        <v>1781</v>
      </c>
      <c r="F16" s="2191"/>
      <c r="G16" s="2191"/>
      <c r="H16" s="2191"/>
      <c r="I16" s="2192"/>
    </row>
    <row r="17" spans="1:35" ht="15">
      <c r="A17" s="2193" t="s">
        <v>1782</v>
      </c>
      <c r="B17" s="2194"/>
      <c r="C17" s="57">
        <f>SUM(C5:C16)</f>
        <v>1</v>
      </c>
      <c r="D17" s="57">
        <f>SUM(D5:D16)</f>
        <v>0</v>
      </c>
      <c r="E17" s="2186"/>
      <c r="F17" s="2186"/>
      <c r="G17" s="2186"/>
      <c r="H17" s="2186"/>
      <c r="I17" s="2186"/>
    </row>
    <row r="18" spans="1:35" ht="15.75" thickBot="1">
      <c r="A18" s="2195" t="s">
        <v>1783</v>
      </c>
      <c r="B18" s="2196"/>
      <c r="C18" s="58">
        <f>ROUND(C17/SUM(C17:D17),2)</f>
        <v>1</v>
      </c>
      <c r="D18" s="58">
        <f>1-C18</f>
        <v>0</v>
      </c>
      <c r="E18" s="2186"/>
      <c r="F18" s="2186"/>
      <c r="G18" s="2186"/>
      <c r="H18" s="2186"/>
      <c r="I18" s="2186"/>
    </row>
    <row r="19" spans="1:35" ht="15">
      <c r="A19" s="2197" t="s">
        <v>1784</v>
      </c>
      <c r="B19" s="2198" t="s">
        <v>1785</v>
      </c>
      <c r="C19" s="59">
        <f ca="1">SUMIF(INDIRECT("'"&amp;C4&amp;"'"&amp;"!A:A"),'结果表 (1修多)'!B19,INDIRECT("'"&amp;C4&amp;"'"&amp;"!B:B"))</f>
        <v>17679825</v>
      </c>
      <c r="D19" s="60">
        <f ca="1">SUMIF(INDIRECT("'"&amp;D4&amp;"'"&amp;"!A:A"),'结果表 (1修多)'!B19,INDIRECT("'"&amp;D4&amp;"'"&amp;"!B:B"))</f>
        <v>17679825</v>
      </c>
      <c r="E19" s="2197" t="s">
        <v>1786</v>
      </c>
      <c r="F19" s="2198" t="s">
        <v>1785</v>
      </c>
      <c r="G19" s="61">
        <f ca="1">ROUND(C19*$C$18+D19*$D$18,0)</f>
        <v>17679825</v>
      </c>
      <c r="H19" s="2199" t="str">
        <f>'数据-取费表'!B3</f>
        <v>元</v>
      </c>
      <c r="I19" s="2186"/>
    </row>
    <row r="20" spans="1:35" ht="15">
      <c r="A20" s="2200"/>
      <c r="B20" s="2201" t="s">
        <v>1787</v>
      </c>
      <c r="C20" s="62">
        <f ca="1">SUMIF(INDIRECT("'"&amp;C4&amp;"'"&amp;"!A:A"),'结果表 (1修多)'!B20,INDIRECT("'"&amp;C4&amp;"'"&amp;"!B:B"))</f>
        <v>119426</v>
      </c>
      <c r="D20" s="63">
        <f ca="1">SUMIF(INDIRECT("'"&amp;D4&amp;"'"&amp;"!A:A"),'结果表 (1修多)'!B20,INDIRECT("'"&amp;D4&amp;"'"&amp;"!B:B"))</f>
        <v>119426</v>
      </c>
      <c r="E20" s="2200"/>
      <c r="F20" s="2201" t="s">
        <v>1787</v>
      </c>
      <c r="G20" s="64">
        <f ca="1">ROUND(C20*$C$18+D20*$D$18,0)</f>
        <v>119426</v>
      </c>
      <c r="H20" s="2202" t="s">
        <v>1788</v>
      </c>
      <c r="I20" s="2186"/>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0</v>
      </c>
      <c r="E22" s="2186"/>
      <c r="F22" s="2186"/>
      <c r="G22" s="2186"/>
      <c r="H22" s="2186"/>
      <c r="I22" s="2186"/>
    </row>
    <row r="23" spans="1:35" ht="13.5" thickBot="1">
      <c r="A23" s="2186"/>
      <c r="B23" s="2186"/>
      <c r="C23" s="2186"/>
      <c r="D23" s="2186"/>
      <c r="E23" s="2186"/>
      <c r="F23" s="2186"/>
      <c r="G23" s="2186"/>
      <c r="H23" s="2186"/>
      <c r="I23" s="2186"/>
    </row>
    <row r="24" spans="1:35" ht="21.75" customHeight="1">
      <c r="A24" s="2900" t="s">
        <v>1790</v>
      </c>
      <c r="B24" s="2198" t="s">
        <v>1785</v>
      </c>
      <c r="C24" s="61">
        <f>D30</f>
        <v>0</v>
      </c>
      <c r="D24" s="989"/>
      <c r="E24" s="2186"/>
      <c r="F24" s="2186"/>
      <c r="G24" s="2186"/>
      <c r="H24" s="2186"/>
      <c r="I24" s="2186"/>
    </row>
    <row r="25" spans="1:35" ht="21.75" customHeight="1">
      <c r="A25" s="2901"/>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t="s">
        <v>1959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695" t="s">
        <v>1960</v>
      </c>
      <c r="B30" s="2696"/>
      <c r="C30" s="2696"/>
      <c r="D30" s="2696"/>
      <c r="E30" s="2694" t="s">
        <v>2795</v>
      </c>
      <c r="F30" s="2186"/>
      <c r="G30" s="2186"/>
      <c r="H30" s="2186"/>
      <c r="I30" s="2186"/>
    </row>
    <row r="31" spans="1:35" s="2213" customFormat="1" ht="15.75" thickBot="1">
      <c r="A31" s="2985" t="s">
        <v>1961</v>
      </c>
      <c r="B31" s="2985"/>
      <c r="C31" s="2985"/>
      <c r="D31" s="2985"/>
      <c r="E31" s="2985"/>
      <c r="F31" s="2985"/>
      <c r="G31" s="2985"/>
      <c r="H31" s="2985"/>
      <c r="I31" s="2985"/>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1"/>
      <c r="B32" s="2312" t="s">
        <v>1962</v>
      </c>
      <c r="C32" s="1303">
        <f ca="1">典型户型修正!R27</f>
        <v>119426</v>
      </c>
      <c r="D32" s="2186" t="s">
        <v>1963</v>
      </c>
      <c r="E32" s="2186"/>
      <c r="F32" s="2186"/>
      <c r="G32" s="2186"/>
      <c r="H32" s="2186"/>
      <c r="I32" s="2186"/>
    </row>
    <row r="33" spans="1:16" ht="15">
      <c r="A33" s="2313" t="s">
        <v>1964</v>
      </c>
      <c r="B33" s="2314" t="s">
        <v>1965</v>
      </c>
      <c r="C33" s="1304">
        <f ca="1">典型户型修正!B2</f>
        <v>17679825</v>
      </c>
      <c r="D33" s="2315" t="str">
        <f>IF('数据-取费表'!B3="万元","万元","元")</f>
        <v>元</v>
      </c>
      <c r="E33" s="2186"/>
      <c r="F33" s="2186"/>
      <c r="G33" s="2186"/>
      <c r="H33" s="2186"/>
      <c r="I33" s="2186"/>
    </row>
    <row r="34" spans="1:16" ht="15.75" thickBot="1">
      <c r="A34" s="2316"/>
      <c r="B34" s="2317" t="s">
        <v>1966</v>
      </c>
      <c r="C34" s="770">
        <f ca="1">典型户型修正!B3</f>
        <v>119426</v>
      </c>
      <c r="D34" s="2186" t="s">
        <v>1967</v>
      </c>
      <c r="E34" s="2186"/>
      <c r="F34" s="2186"/>
      <c r="G34" s="2186"/>
      <c r="H34" s="2186"/>
      <c r="I34" s="2186"/>
    </row>
    <row r="35" spans="1:16" ht="15">
      <c r="A35" s="2318"/>
      <c r="B35" s="2319" t="s">
        <v>1968</v>
      </c>
      <c r="C35" s="1311">
        <f>IF('数据-取费表'!B3="万元",典型户型修正!V25,典型户型修正!U25)</f>
        <v>0</v>
      </c>
      <c r="D35" s="2186" t="str">
        <f>D33</f>
        <v>元</v>
      </c>
      <c r="E35" s="2186"/>
      <c r="F35" s="2186"/>
      <c r="G35" s="2186"/>
      <c r="H35" s="2186"/>
      <c r="I35" s="2186"/>
    </row>
    <row r="36" spans="1:16" ht="15.75" thickBot="1">
      <c r="A36" s="2225"/>
      <c r="B36" s="2320" t="s">
        <v>1969</v>
      </c>
      <c r="C36" s="1312">
        <f>IF('数据-取费表'!B3="万元",典型户型修正!Y25,典型户型修正!X25)</f>
        <v>0</v>
      </c>
      <c r="D36" s="2186" t="str">
        <f>D33</f>
        <v>元</v>
      </c>
      <c r="E36" s="2186"/>
      <c r="F36" s="2186"/>
      <c r="G36" s="2186"/>
      <c r="H36" s="2186"/>
      <c r="I36" s="2186"/>
    </row>
    <row r="37" spans="1:16" ht="15.75" thickBot="1">
      <c r="A37" s="2902" t="s">
        <v>1970</v>
      </c>
      <c r="B37" s="2228" t="s">
        <v>1971</v>
      </c>
      <c r="C37" s="69"/>
      <c r="D37" s="2229"/>
      <c r="E37" s="2230"/>
      <c r="F37" s="2230"/>
      <c r="G37" s="2186"/>
      <c r="H37" s="2186"/>
      <c r="I37" s="2186"/>
    </row>
    <row r="38" spans="1:16" ht="15.75" thickBot="1">
      <c r="A38" s="2903"/>
      <c r="B38" s="2231" t="s">
        <v>1972</v>
      </c>
      <c r="C38" s="71"/>
      <c r="D38" s="2196"/>
      <c r="E38" s="2196"/>
      <c r="F38" s="2230"/>
      <c r="G38" s="2196"/>
      <c r="H38" s="2196"/>
      <c r="I38" s="2196"/>
    </row>
    <row r="39" spans="1:16" ht="15.75" thickBot="1">
      <c r="A39" s="2904"/>
      <c r="B39" s="2232" t="s">
        <v>1973</v>
      </c>
      <c r="C39" s="711"/>
      <c r="D39" s="2233" t="s">
        <v>1974</v>
      </c>
      <c r="E39" s="2196"/>
      <c r="F39" s="2230"/>
      <c r="G39" s="2196"/>
      <c r="H39" s="2196"/>
      <c r="I39" s="2196"/>
    </row>
    <row r="40" spans="1:16" ht="15">
      <c r="A40" s="2200" t="s">
        <v>1975</v>
      </c>
      <c r="B40" s="2234" t="s">
        <v>1976</v>
      </c>
      <c r="C40" s="2235" t="s">
        <v>1977</v>
      </c>
      <c r="D40" s="2235" t="s">
        <v>1978</v>
      </c>
      <c r="E40" s="2236" t="s">
        <v>1979</v>
      </c>
      <c r="F40" s="2230"/>
      <c r="G40" s="2196"/>
      <c r="H40" s="2196"/>
      <c r="I40" s="2196"/>
    </row>
    <row r="41" spans="1:16" ht="14.25">
      <c r="A41" s="2237" t="s">
        <v>1980</v>
      </c>
      <c r="B41" s="74"/>
      <c r="C41" s="75"/>
      <c r="D41" s="75"/>
      <c r="E41" s="76"/>
      <c r="F41" s="2230"/>
      <c r="G41" s="2196"/>
      <c r="H41" s="2196"/>
      <c r="I41" s="2196"/>
    </row>
    <row r="42" spans="1:16" ht="14.25">
      <c r="A42" s="2237" t="s">
        <v>1981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1982</v>
      </c>
      <c r="B45" s="2243"/>
      <c r="C45" s="2243"/>
      <c r="D45" s="2244"/>
      <c r="E45" s="2244"/>
      <c r="F45" s="2245"/>
      <c r="G45" s="2245"/>
      <c r="H45" s="2245"/>
      <c r="I45" s="2245"/>
      <c r="J45" s="2246" t="s">
        <v>1813</v>
      </c>
      <c r="K45" s="2247"/>
      <c r="L45" s="2247"/>
      <c r="M45" s="2247"/>
      <c r="N45" s="2247"/>
      <c r="O45" s="2247"/>
      <c r="P45" s="1840"/>
    </row>
    <row r="46" spans="1:16" ht="14.25" customHeight="1" thickBot="1">
      <c r="A46" s="2879" t="s">
        <v>1983</v>
      </c>
      <c r="B46" s="2880"/>
      <c r="C46" s="2881"/>
      <c r="D46" s="80">
        <f ca="1">ROUND(I103*F46,0)</f>
        <v>17679825</v>
      </c>
      <c r="E46" s="81" t="s">
        <v>1984</v>
      </c>
      <c r="F46" s="82">
        <v>1</v>
      </c>
      <c r="G46" s="83" t="s">
        <v>1985</v>
      </c>
      <c r="H46" s="2186"/>
      <c r="I46" s="2186"/>
      <c r="J46" s="2882" t="s">
        <v>1817</v>
      </c>
      <c r="K46" s="2882"/>
      <c r="L46" s="2882"/>
      <c r="M46" s="2882"/>
      <c r="N46" s="2882"/>
      <c r="O46" s="2882"/>
      <c r="P46" s="1840"/>
    </row>
    <row r="47" spans="1:16" ht="14.25" customHeight="1">
      <c r="A47" s="2883" t="s">
        <v>1818</v>
      </c>
      <c r="B47" s="2884"/>
      <c r="C47" s="2884"/>
      <c r="D47" s="2884"/>
      <c r="E47" s="2884"/>
      <c r="F47" s="2884"/>
      <c r="G47" s="2885"/>
      <c r="H47" s="2248"/>
      <c r="I47" s="1139"/>
      <c r="J47" s="1877">
        <v>1</v>
      </c>
      <c r="K47" s="2882" t="s">
        <v>1819</v>
      </c>
      <c r="L47" s="2882"/>
      <c r="M47" s="2886"/>
      <c r="N47" s="2886"/>
      <c r="O47" s="2886"/>
      <c r="P47" s="1840"/>
    </row>
    <row r="48" spans="1:16" ht="12" customHeight="1">
      <c r="A48" s="85" t="s">
        <v>1820</v>
      </c>
      <c r="B48" s="86"/>
      <c r="C48" s="87"/>
      <c r="D48" s="88" t="s">
        <v>1821</v>
      </c>
      <c r="E48" s="14" t="s">
        <v>1822</v>
      </c>
      <c r="F48" s="89" t="s">
        <v>1823</v>
      </c>
      <c r="G48" s="90" t="s">
        <v>1824</v>
      </c>
      <c r="H48" s="2248"/>
      <c r="I48" s="1139"/>
      <c r="J48" s="1877">
        <v>2</v>
      </c>
      <c r="K48" s="2882" t="s">
        <v>1825</v>
      </c>
      <c r="L48" s="2882"/>
      <c r="M48" s="2890">
        <f>'数据-取费表'!B2</f>
        <v>43888</v>
      </c>
      <c r="N48" s="2890"/>
      <c r="O48" s="2890"/>
      <c r="P48" s="1840"/>
    </row>
    <row r="49" spans="1:16" ht="25.5">
      <c r="A49" s="2891" t="s">
        <v>1826</v>
      </c>
      <c r="B49" s="2892"/>
      <c r="C49" s="2892"/>
      <c r="D49" s="56">
        <f ca="1">IF(H49="情况1",0,IF(H49="情况2",D53,IF(H49="情况3",D54,IF(H49="情况4",D55))))</f>
        <v>942924</v>
      </c>
      <c r="E49" s="1887" t="str">
        <f>IF(H49="情况4","(销售额-原购置价)×税（费）率","销售额×税（费）率")</f>
        <v>销售额×税（费）率</v>
      </c>
      <c r="F49" s="91">
        <f>IF(H49="情况1","免征",'数据-取费表'!E29)</f>
        <v>5.6000000000000001E-2</v>
      </c>
      <c r="G49" s="2249" t="s">
        <v>1827</v>
      </c>
      <c r="H49" s="2250" t="s">
        <v>1828</v>
      </c>
      <c r="I49" s="2248"/>
      <c r="J49" s="1877">
        <v>3</v>
      </c>
      <c r="K49" s="2882" t="s">
        <v>1829</v>
      </c>
      <c r="L49" s="2882"/>
      <c r="M49" s="2905">
        <f ca="1">I103</f>
        <v>17679825</v>
      </c>
      <c r="N49" s="2905"/>
      <c r="O49" s="2905"/>
      <c r="P49" s="1840"/>
    </row>
    <row r="50" spans="1:16" ht="25.5" customHeight="1">
      <c r="A50" s="92" t="s">
        <v>1830</v>
      </c>
      <c r="B50" s="2887" t="s">
        <v>1831</v>
      </c>
      <c r="C50" s="2887"/>
      <c r="D50" s="93">
        <v>0</v>
      </c>
      <c r="E50" s="13" t="s">
        <v>1832</v>
      </c>
      <c r="F50" s="18" t="s">
        <v>48</v>
      </c>
      <c r="G50" s="2906"/>
      <c r="H50" s="2186"/>
      <c r="I50" s="2251"/>
      <c r="J50" s="1877">
        <v>4</v>
      </c>
      <c r="K50" s="2882" t="str">
        <f>IF(项目基本情况!F5="房地产抵押价值","房地产抵押价值","抵押担保权已注销时的房地产抵押价值")</f>
        <v>房地产抵押价值</v>
      </c>
      <c r="L50" s="2882"/>
      <c r="M50" s="2905">
        <f ca="1">IF(项目基本情况!F5="房地产抵押价值",I111,I113)</f>
        <v>17679825</v>
      </c>
      <c r="N50" s="2905"/>
      <c r="O50" s="2905"/>
      <c r="P50" s="1840"/>
    </row>
    <row r="51" spans="1:16" ht="25.5" customHeight="1">
      <c r="A51" s="94"/>
      <c r="B51" s="2887" t="s">
        <v>1833</v>
      </c>
      <c r="C51" s="2887"/>
      <c r="D51" s="95"/>
      <c r="E51" s="21"/>
      <c r="F51" s="96"/>
      <c r="G51" s="2907"/>
      <c r="H51" s="2186"/>
      <c r="I51" s="2251"/>
      <c r="J51" s="2882" t="s">
        <v>1834</v>
      </c>
      <c r="K51" s="2882"/>
      <c r="L51" s="2882"/>
      <c r="M51" s="2882"/>
      <c r="N51" s="2882"/>
      <c r="O51" s="2882"/>
      <c r="P51" s="1840"/>
    </row>
    <row r="52" spans="1:16" ht="12" customHeight="1">
      <c r="A52" s="97"/>
      <c r="B52" s="2887" t="s">
        <v>1835</v>
      </c>
      <c r="C52" s="2887"/>
      <c r="D52" s="98"/>
      <c r="E52" s="20"/>
      <c r="F52" s="96"/>
      <c r="G52" s="2908"/>
      <c r="H52" s="2186"/>
      <c r="I52" s="2251"/>
      <c r="J52" s="2252" t="s">
        <v>1836</v>
      </c>
      <c r="K52" s="2882" t="s">
        <v>1837</v>
      </c>
      <c r="L52" s="2882"/>
      <c r="M52" s="2252" t="s">
        <v>1838</v>
      </c>
      <c r="N52" s="2252" t="s">
        <v>1839</v>
      </c>
      <c r="O52" s="2252" t="s">
        <v>1840</v>
      </c>
      <c r="P52" s="1840"/>
    </row>
    <row r="53" spans="1:16" ht="24" customHeight="1">
      <c r="A53" s="99" t="s">
        <v>1841</v>
      </c>
      <c r="B53" s="2887" t="s">
        <v>1842</v>
      </c>
      <c r="C53" s="2887"/>
      <c r="D53" s="98">
        <f ca="1">ROUND(D46*'数据-取费表'!E29/(1+'数据-取费表'!F30),0)</f>
        <v>942924</v>
      </c>
      <c r="E53" s="10" t="s">
        <v>1843</v>
      </c>
      <c r="F53" s="100">
        <f>'数据-取费表'!E29</f>
        <v>5.6000000000000001E-2</v>
      </c>
      <c r="G53" s="2253"/>
      <c r="H53" s="2186"/>
      <c r="I53" s="2251"/>
      <c r="J53" s="1877">
        <v>1</v>
      </c>
      <c r="K53" s="2888" t="s">
        <v>1844</v>
      </c>
      <c r="L53" s="2888"/>
      <c r="M53" s="777">
        <f ca="1">D49</f>
        <v>942924</v>
      </c>
      <c r="N53" s="1877" t="str">
        <f>E49</f>
        <v>销售额×税（费）率</v>
      </c>
      <c r="O53" s="778">
        <f>F49</f>
        <v>5.6000000000000001E-2</v>
      </c>
      <c r="P53" s="1840"/>
    </row>
    <row r="54" spans="1:16" ht="12" customHeight="1">
      <c r="A54" s="99" t="s">
        <v>1845</v>
      </c>
      <c r="B54" s="2889" t="s">
        <v>1846</v>
      </c>
      <c r="C54" s="2845"/>
      <c r="D54" s="98">
        <f ca="1">ROUND(D46*'数据-取费表'!E29/(1+'数据-取费表'!F30),0)</f>
        <v>942924</v>
      </c>
      <c r="E54" s="10" t="s">
        <v>1843</v>
      </c>
      <c r="F54" s="100">
        <f>'数据-取费表'!E29</f>
        <v>5.6000000000000001E-2</v>
      </c>
      <c r="G54" s="2253"/>
      <c r="H54" s="2186"/>
      <c r="I54" s="2251"/>
      <c r="J54" s="1877">
        <v>2</v>
      </c>
      <c r="K54" s="2888" t="s">
        <v>1847</v>
      </c>
      <c r="L54" s="2888"/>
      <c r="M54" s="777">
        <f t="shared" ref="M54:O55" ca="1" si="1">D56</f>
        <v>8840</v>
      </c>
      <c r="N54" s="1877" t="str">
        <f t="shared" si="1"/>
        <v>销售额×税（费）率</v>
      </c>
      <c r="O54" s="778">
        <f t="shared" si="1"/>
        <v>5.0000000000000001E-4</v>
      </c>
      <c r="P54" s="1840"/>
    </row>
    <row r="55" spans="1:16" ht="12" customHeight="1">
      <c r="A55" s="99" t="s">
        <v>1848</v>
      </c>
      <c r="B55" s="2889" t="s">
        <v>1849</v>
      </c>
      <c r="C55" s="2845"/>
      <c r="D55" s="98">
        <f ca="1">C69</f>
        <v>942924</v>
      </c>
      <c r="E55" s="20" t="s">
        <v>1850</v>
      </c>
      <c r="F55" s="100">
        <f>'数据-取费表'!E29</f>
        <v>5.6000000000000001E-2</v>
      </c>
      <c r="G55" s="2253"/>
      <c r="H55" s="2254"/>
      <c r="I55" s="2251"/>
      <c r="J55" s="1877">
        <v>3</v>
      </c>
      <c r="K55" s="2888" t="s">
        <v>1851</v>
      </c>
      <c r="L55" s="2888"/>
      <c r="M55" s="777">
        <f t="shared" ca="1" si="1"/>
        <v>10006781</v>
      </c>
      <c r="N55" s="1877" t="str">
        <f t="shared" si="1"/>
        <v>增值额×税（费）率</v>
      </c>
      <c r="O55" s="779" t="str">
        <f t="shared" si="1"/>
        <v>——</v>
      </c>
      <c r="P55" s="1840"/>
    </row>
    <row r="56" spans="1:16" ht="24" customHeight="1">
      <c r="A56" s="2837" t="s">
        <v>1852</v>
      </c>
      <c r="B56" s="2892"/>
      <c r="C56" s="2892"/>
      <c r="D56" s="101">
        <f ca="1">IF(H56="个人住宅",0,ROUND(D46*I56,0))</f>
        <v>8840</v>
      </c>
      <c r="E56" s="10" t="s">
        <v>1853</v>
      </c>
      <c r="F56" s="100">
        <f>IF(H56="正常",I56,"免征")</f>
        <v>5.0000000000000001E-4</v>
      </c>
      <c r="G56" s="2253"/>
      <c r="H56" s="2250" t="s">
        <v>1854</v>
      </c>
      <c r="I56" s="102">
        <f>'数据-取费表'!E37</f>
        <v>5.0000000000000001E-4</v>
      </c>
      <c r="J56" s="1877" t="str">
        <f>IF(H60="非个人房产","",4)</f>
        <v/>
      </c>
      <c r="K56" s="2888" t="str">
        <f>IF(H60="非个人房产","——","个人所得税")</f>
        <v>——</v>
      </c>
      <c r="L56" s="2888"/>
      <c r="M56" s="780" t="str">
        <f>D60</f>
        <v>——</v>
      </c>
      <c r="N56" s="1880" t="str">
        <f>E60</f>
        <v>——</v>
      </c>
      <c r="O56" s="781" t="str">
        <f>F60</f>
        <v>——</v>
      </c>
      <c r="P56" s="1840"/>
    </row>
    <row r="57" spans="1:16" ht="24.75">
      <c r="A57" s="2837" t="s">
        <v>1855</v>
      </c>
      <c r="B57" s="2892"/>
      <c r="C57" s="2892"/>
      <c r="D57" s="101">
        <f ca="1">IF(H57="个人住宅",D58,D59)</f>
        <v>10006781</v>
      </c>
      <c r="E57" s="10" t="s">
        <v>1856</v>
      </c>
      <c r="F57" s="100" t="str">
        <f>IF(H57="正常",F59,"免征")</f>
        <v>——</v>
      </c>
      <c r="G57" s="2255" t="s">
        <v>1857</v>
      </c>
      <c r="H57" s="2256" t="s">
        <v>1854</v>
      </c>
      <c r="I57" s="1017"/>
      <c r="J57" s="1877" t="str">
        <f>IF(项目基本情况!I6="上海银行",IF(J56="",4,J56+1),"")</f>
        <v/>
      </c>
      <c r="K57" s="2914" t="str">
        <f>IF(项目基本情况!I6="上海银行","其他处置费用","")</f>
        <v/>
      </c>
      <c r="L57" s="2915"/>
      <c r="M57" s="777" t="str">
        <f>IF(项目基本情况!I6="上海银行",M70,"")</f>
        <v/>
      </c>
      <c r="N57" s="2909" t="str">
        <f>IF(项目基本情况!I6="上海银行","包含处置中涉及的律师、诉讼、拍卖、评估等费用","")</f>
        <v/>
      </c>
      <c r="O57" s="2910"/>
      <c r="P57" s="1840"/>
    </row>
    <row r="58" spans="1:16" ht="12.75">
      <c r="A58" s="99" t="s">
        <v>1830</v>
      </c>
      <c r="B58" s="2896" t="s">
        <v>1858</v>
      </c>
      <c r="C58" s="2898"/>
      <c r="D58" s="103">
        <v>0</v>
      </c>
      <c r="E58" s="13" t="s">
        <v>1832</v>
      </c>
      <c r="F58" s="70"/>
      <c r="G58" s="2253"/>
      <c r="H58" s="1017"/>
      <c r="I58" s="1017"/>
      <c r="J58" s="2888">
        <f>IF(AND(J56="",J57=""),4,IF(项目基本情况!I6="上海银行",J57+1,J56+1))</f>
        <v>4</v>
      </c>
      <c r="K58" s="2888" t="s">
        <v>1859</v>
      </c>
      <c r="L58" s="2257" t="s">
        <v>1860</v>
      </c>
      <c r="M58" s="782"/>
      <c r="N58" s="783">
        <f ca="1">SUMIF(M53:M57,"&lt;9e307")</f>
        <v>10958545</v>
      </c>
      <c r="O58" s="2258"/>
      <c r="P58" s="1836">
        <f ca="1">N58/M50</f>
        <v>0.61983334111055965</v>
      </c>
    </row>
    <row r="59" spans="1:16" ht="24.75">
      <c r="A59" s="99" t="s">
        <v>1841</v>
      </c>
      <c r="B59" s="2896" t="s">
        <v>1861</v>
      </c>
      <c r="C59" s="2897"/>
      <c r="D59" s="101">
        <f ca="1">IF(H59="转让取得",C82,C98)</f>
        <v>10006781</v>
      </c>
      <c r="E59" s="10" t="s">
        <v>1856</v>
      </c>
      <c r="F59" s="14" t="s">
        <v>48</v>
      </c>
      <c r="G59" s="2253"/>
      <c r="H59" s="2256" t="s">
        <v>1862</v>
      </c>
      <c r="I59" s="1017"/>
      <c r="J59" s="2888"/>
      <c r="K59" s="2888"/>
      <c r="L59" s="2257" t="s">
        <v>1863</v>
      </c>
      <c r="M59" s="784"/>
      <c r="N59" s="2259" t="str">
        <f ca="1">IF(H19="元",NUMBERSTRING(INT(N58),2)&amp;"元整",NUMBERSTRING(INT(N58*10000),2)&amp;"元整")</f>
        <v>壹仟零玖拾伍万捌仟伍佰肆拾伍元整</v>
      </c>
      <c r="O59" s="2260"/>
      <c r="P59" s="1840"/>
    </row>
    <row r="60" spans="1:16" ht="24.75" thickBot="1">
      <c r="A60" s="2838" t="s">
        <v>1864</v>
      </c>
      <c r="B60" s="2841"/>
      <c r="C60" s="2841"/>
      <c r="D60" s="104" t="str">
        <f>IF(H60="非个人房产","——",IF(H60="个人住宅",0,ROUND(D46*I60,0)))</f>
        <v>——</v>
      </c>
      <c r="E60" s="105" t="str">
        <f>IF(H60="非个人房产","——","销售额×税（费）率")</f>
        <v>——</v>
      </c>
      <c r="F60" s="106" t="str">
        <f>IF(H60="非个人房产","——",IF(H60="个人住宅","免征",I60))</f>
        <v>——</v>
      </c>
      <c r="G60" s="2261" t="s">
        <v>1857</v>
      </c>
      <c r="H60" s="2256" t="s">
        <v>1986</v>
      </c>
      <c r="I60" s="107">
        <v>0.01</v>
      </c>
      <c r="J60" s="2911">
        <f>J58+1</f>
        <v>5</v>
      </c>
      <c r="K60" s="2888" t="s">
        <v>1866</v>
      </c>
      <c r="L60" s="1877" t="s">
        <v>1860</v>
      </c>
      <c r="M60" s="785"/>
      <c r="N60" s="786">
        <f ca="1">M50-N58</f>
        <v>6721280</v>
      </c>
      <c r="O60" s="2262"/>
      <c r="P60" s="1840"/>
    </row>
    <row r="61" spans="1:16" ht="12" customHeight="1">
      <c r="A61" s="2059"/>
      <c r="B61" s="2186"/>
      <c r="C61" s="2186"/>
      <c r="D61" s="2186"/>
      <c r="E61" s="1017"/>
      <c r="F61" s="1017"/>
      <c r="G61" s="1017"/>
      <c r="H61" s="2239"/>
      <c r="I61" s="2186"/>
      <c r="J61" s="2912"/>
      <c r="K61" s="2888"/>
      <c r="L61" s="2257" t="s">
        <v>1863</v>
      </c>
      <c r="M61" s="784"/>
      <c r="N61" s="2259" t="str">
        <f ca="1">IF(H19="元",NUMBERSTRING(INT(N60),2)&amp;"元整",NUMBERSTRING(INT(N60*10000),2)&amp;"元整")</f>
        <v>陆佰柒拾贰万壹仟贰佰捌拾元整</v>
      </c>
      <c r="O61" s="2260"/>
      <c r="P61" s="1840"/>
    </row>
    <row r="62" spans="1:16" ht="13.5" thickBot="1">
      <c r="A62" s="2913" t="s">
        <v>1867</v>
      </c>
      <c r="B62" s="2913"/>
      <c r="C62" s="2913"/>
      <c r="D62" s="2913"/>
      <c r="E62" s="2913"/>
      <c r="F62" s="1017"/>
      <c r="G62" s="1017"/>
      <c r="H62" s="2239"/>
      <c r="I62" s="2186"/>
      <c r="J62" s="1877">
        <f>J60+1</f>
        <v>6</v>
      </c>
      <c r="K62" s="2888" t="s">
        <v>1868</v>
      </c>
      <c r="L62" s="2888"/>
      <c r="M62" s="787"/>
      <c r="N62" s="788">
        <f ca="1">IF(H19="元",ROUND(N60/项目基本情况!C12,0),ROUND(N60*10000/项目基本情况!C12,0))</f>
        <v>25694</v>
      </c>
      <c r="O62" s="2263"/>
      <c r="P62" s="1840"/>
    </row>
    <row r="63" spans="1:16" ht="12.75">
      <c r="A63" s="2916" t="s">
        <v>1869</v>
      </c>
      <c r="B63" s="2917"/>
      <c r="C63" s="1879"/>
      <c r="D63" s="1879" t="s">
        <v>1870</v>
      </c>
      <c r="E63" s="108" t="s">
        <v>1871</v>
      </c>
      <c r="F63" s="1017"/>
      <c r="G63" s="1017"/>
      <c r="H63" s="2239"/>
      <c r="I63" s="2186"/>
      <c r="J63" s="1840"/>
      <c r="K63" s="1840"/>
      <c r="L63" s="1840"/>
      <c r="M63" s="1840"/>
      <c r="N63" s="1840"/>
      <c r="O63" s="1840"/>
      <c r="P63" s="1840"/>
    </row>
    <row r="64" spans="1:16" ht="12.75">
      <c r="A64" s="109">
        <v>1</v>
      </c>
      <c r="B64" s="110" t="s">
        <v>1872</v>
      </c>
      <c r="C64" s="111">
        <f ca="1">ROUND((C65+C66)/(1+'数据-取费表'!F30),0)</f>
        <v>16837929</v>
      </c>
      <c r="D64" s="112"/>
      <c r="E64" s="113"/>
      <c r="F64" s="1017"/>
      <c r="G64" s="1017"/>
      <c r="H64" s="2239"/>
      <c r="I64" s="2186"/>
      <c r="J64" s="2873" t="s">
        <v>1873</v>
      </c>
      <c r="K64" s="2264" t="s">
        <v>1874</v>
      </c>
      <c r="L64" s="1839">
        <f ca="1">IF(M50&gt;10000,M50*0.5%,IF(AND(M50&gt;1000,M50&lt;=10000),M50*1%,IF(AND(M50&gt;100,M50&lt;=1000),M50*3%,IF(AND(M50&gt;10,M50&lt;=100),M50*5%,M50*8%))))</f>
        <v>88399.125</v>
      </c>
      <c r="M64" s="14">
        <f ca="1">ROUND(L64,1)</f>
        <v>88399.1</v>
      </c>
      <c r="N64" s="1840"/>
      <c r="O64" s="1840"/>
      <c r="P64" s="1840"/>
    </row>
    <row r="65" spans="1:35" ht="12.75">
      <c r="A65" s="114" t="s">
        <v>71</v>
      </c>
      <c r="B65" s="115" t="s">
        <v>1875</v>
      </c>
      <c r="C65" s="116">
        <f ca="1">D46</f>
        <v>17679825</v>
      </c>
      <c r="D65" s="117" t="s">
        <v>41</v>
      </c>
      <c r="E65" s="118"/>
      <c r="F65" s="1017"/>
      <c r="G65" s="1017"/>
      <c r="H65" s="2239"/>
      <c r="I65" s="2186"/>
      <c r="J65" s="2873"/>
      <c r="K65" s="2264" t="s">
        <v>1876</v>
      </c>
      <c r="L65" s="1839">
        <f ca="1">IF(M50&gt;2000,M50*0.5%,IF(AND(M50&gt;1000,M50&lt;=2000),M50*0.6%,IF(AND(M50&gt;500,M50&lt;=1000),M50*0.7%,IF(AND(M50&gt;200,M50&lt;=500),M50*0.8%,IF(AND(M50&gt;100,M50&lt;=200),M50*0.9%,IF(AND(M50&gt;50,M50&lt;=100),M50*1%,IF(AND(M50&gt;20,M50&lt;=50),M50*1.5%,IF(AND(M50&gt;10,M50&lt;=20),M50*2%,IF(AND(M50&gt;1,M50&lt;=10),M50*2.5%)))))))))</f>
        <v>88399.125</v>
      </c>
      <c r="M65" s="14">
        <f t="shared" ref="M65:M66" ca="1" si="2">ROUND(L65,1)</f>
        <v>88399.1</v>
      </c>
      <c r="N65" s="1840" t="s">
        <v>1877</v>
      </c>
      <c r="O65" s="1840"/>
      <c r="P65" s="1840"/>
    </row>
    <row r="66" spans="1:35" ht="12.75">
      <c r="A66" s="114" t="s">
        <v>72</v>
      </c>
      <c r="B66" s="115" t="s">
        <v>1878</v>
      </c>
      <c r="C66" s="119"/>
      <c r="D66" s="117"/>
      <c r="E66" s="118"/>
      <c r="F66" s="1017"/>
      <c r="G66" s="1017"/>
      <c r="H66" s="2239"/>
      <c r="I66" s="2186"/>
      <c r="J66" s="2873"/>
      <c r="K66" s="2264" t="s">
        <v>1879</v>
      </c>
      <c r="L66" s="1839">
        <f ca="1">IF(M50&gt;1000,M50*0.1%,IF(AND(M50&gt;500,M50&lt;=1000),M50*0.5%,IF(AND(M50&gt;50,M50&lt;=500),M50*1%,IF(AND(M50&gt;1,M50&lt;=50),M50*1.5%))))</f>
        <v>17679.825000000001</v>
      </c>
      <c r="M66" s="14">
        <f t="shared" ca="1" si="2"/>
        <v>17679.8</v>
      </c>
      <c r="N66" s="1840" t="s">
        <v>1877</v>
      </c>
      <c r="O66" s="1840"/>
      <c r="P66" s="1840"/>
    </row>
    <row r="67" spans="1:35" ht="12.75">
      <c r="A67" s="120" t="s">
        <v>47</v>
      </c>
      <c r="B67" s="121" t="s">
        <v>1880</v>
      </c>
      <c r="C67" s="122"/>
      <c r="D67" s="123" t="s">
        <v>41</v>
      </c>
      <c r="E67" s="1856" t="s">
        <v>1881</v>
      </c>
      <c r="F67" s="1017"/>
      <c r="G67" s="1017"/>
      <c r="H67" s="2239"/>
      <c r="I67" s="2186"/>
      <c r="J67" s="2873"/>
      <c r="K67" s="2264" t="s">
        <v>1882</v>
      </c>
      <c r="L67" s="1839">
        <f ca="1">M50*0.5%</f>
        <v>88399.125</v>
      </c>
      <c r="M67" s="14">
        <f ca="1">IF(L67&gt;0.5,0.5,ROUND(L67,0))</f>
        <v>0.5</v>
      </c>
      <c r="N67" s="1840" t="s">
        <v>1883</v>
      </c>
      <c r="O67" s="1840"/>
      <c r="P67" s="1840"/>
    </row>
    <row r="68" spans="1:35" ht="12.75">
      <c r="A68" s="120" t="s">
        <v>42</v>
      </c>
      <c r="B68" s="121" t="s">
        <v>1884</v>
      </c>
      <c r="C68" s="124">
        <f ca="1">C64-C67</f>
        <v>16837929</v>
      </c>
      <c r="D68" s="117" t="s">
        <v>41</v>
      </c>
      <c r="E68" s="118"/>
      <c r="F68" s="1017"/>
      <c r="G68" s="1017"/>
      <c r="H68" s="2239"/>
      <c r="I68" s="2186"/>
      <c r="J68" s="2873"/>
      <c r="K68" s="2264" t="s">
        <v>1885</v>
      </c>
      <c r="L68" s="1839">
        <f ca="1">IF(M50&gt;=10000,(8.25+(M50-10000)*0.01%),IF(AND(M50&gt;=8000,M50&lt;10000),(7.85+(M50-8000)*0.02%),IF(AND(M50&gt;=5000,M50&lt;8000),(6.65+(M50-5000)*0.04%),IF(AND(M50&gt;=2000,M50&lt;5000),(4.25+(PM50-2000)*0.08%),IF(AND(M50&gt;=1000,M50&lt;2000),(2.75+(M50-1000)*0.15%),IF(AND(M50&gt;=100,M50&lt;1000),(0.5+(M50-100)*0.25%),IF(AND(M50&gt;0,M50&lt;100),M50*0.5%)))))))</f>
        <v>1775.2325000000001</v>
      </c>
      <c r="M68" s="14">
        <f ca="1">ROUND(L68*0.9,1)</f>
        <v>1597.7</v>
      </c>
      <c r="N68" s="1840"/>
      <c r="O68" s="1840"/>
      <c r="P68" s="1840"/>
    </row>
    <row r="69" spans="1:35" ht="13.5" thickBot="1">
      <c r="A69" s="125" t="s">
        <v>46</v>
      </c>
      <c r="B69" s="126" t="s">
        <v>1886</v>
      </c>
      <c r="C69" s="127">
        <f ca="1">IF(C68&lt;=0,0,ROUND(C68*D69,0))</f>
        <v>942924</v>
      </c>
      <c r="D69" s="128">
        <f>'数据-取费表'!E29</f>
        <v>5.6000000000000001E-2</v>
      </c>
      <c r="E69" s="129"/>
      <c r="F69" s="1017"/>
      <c r="G69" s="1017"/>
      <c r="H69" s="2239"/>
      <c r="I69" s="2186"/>
      <c r="J69" s="2873"/>
      <c r="K69" s="2264" t="s">
        <v>1887</v>
      </c>
      <c r="L69" s="1839">
        <f ca="1">IF(M50&gt;10000,M50*0.5%,IF(AND(M50&gt;5000,M50&lt;=10000),M50*1%,IF(AND(M50&gt;1000,M50&lt;=5000),M50*2%,IF(AND(M50&gt;200,M50&lt;=1000),M50*3%,M50*5%))))</f>
        <v>88399.125</v>
      </c>
      <c r="M69" s="14">
        <f ca="1">ROUND(L69,1)</f>
        <v>88399.1</v>
      </c>
      <c r="N69" s="1840"/>
      <c r="O69" s="1840"/>
      <c r="P69" s="1840"/>
    </row>
    <row r="70" spans="1:35" s="2213" customFormat="1" ht="7.5" customHeight="1">
      <c r="A70" s="2265"/>
      <c r="B70" s="2266"/>
      <c r="C70" s="2267"/>
      <c r="D70" s="2268"/>
      <c r="E70" s="2269"/>
      <c r="F70" s="1017"/>
      <c r="G70" s="1017"/>
      <c r="H70" s="2239"/>
      <c r="I70" s="2186"/>
      <c r="J70" s="2873"/>
      <c r="K70" s="2264" t="s">
        <v>1888</v>
      </c>
      <c r="L70" s="2270"/>
      <c r="M70" s="14">
        <f ca="1">ROUND(SUM(M64:M69),0)</f>
        <v>284475</v>
      </c>
      <c r="N70" s="1836">
        <f ca="1">M70/M50</f>
        <v>1.6090374197708406E-2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2" customFormat="1" ht="15" thickBot="1">
      <c r="A71" s="2927" t="s">
        <v>1889</v>
      </c>
      <c r="B71" s="2928"/>
      <c r="C71" s="2928"/>
      <c r="D71" s="2928"/>
      <c r="E71" s="2928"/>
      <c r="F71" s="2928"/>
      <c r="G71" s="2928"/>
      <c r="H71" s="2928"/>
      <c r="I71" s="2271"/>
      <c r="J71" s="1281"/>
      <c r="K71" s="1281"/>
      <c r="L71" s="1281"/>
      <c r="M71" s="1281"/>
      <c r="N71" s="1281"/>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2916" t="s">
        <v>1869</v>
      </c>
      <c r="B72" s="2917"/>
      <c r="C72" s="1879"/>
      <c r="D72" s="1879" t="s">
        <v>1870</v>
      </c>
      <c r="E72" s="130" t="s">
        <v>1871</v>
      </c>
      <c r="F72" s="131"/>
      <c r="G72" s="131"/>
      <c r="H72" s="132"/>
      <c r="I72" s="2274"/>
      <c r="J72" s="1281"/>
      <c r="K72" s="1281"/>
      <c r="L72" s="1281"/>
      <c r="M72" s="1281"/>
      <c r="N72" s="1281"/>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3">
        <v>1</v>
      </c>
      <c r="B73" s="121" t="s">
        <v>1890</v>
      </c>
      <c r="C73" s="124">
        <f ca="1">ROUND(D46/(1+'数据-取费表'!F30),0)</f>
        <v>16837929</v>
      </c>
      <c r="D73" s="117" t="s">
        <v>41</v>
      </c>
      <c r="E73" s="1882"/>
      <c r="F73" s="1883"/>
      <c r="G73" s="1883"/>
      <c r="H73" s="134"/>
      <c r="I73" s="2274"/>
      <c r="J73" s="1281"/>
      <c r="K73" s="1281"/>
      <c r="L73" s="1281"/>
      <c r="M73" s="1281"/>
      <c r="N73" s="1281"/>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14.25">
      <c r="A74" s="135">
        <v>2</v>
      </c>
      <c r="B74" s="89" t="s">
        <v>1892</v>
      </c>
      <c r="C74" s="124">
        <f ca="1">C75+C79</f>
        <v>101028</v>
      </c>
      <c r="D74" s="117" t="s">
        <v>41</v>
      </c>
      <c r="E74" s="1882"/>
      <c r="F74" s="1883"/>
      <c r="G74" s="1883"/>
      <c r="H74" s="134"/>
      <c r="I74" s="2274"/>
      <c r="J74" s="1281"/>
      <c r="K74" s="1281"/>
      <c r="L74" s="1281"/>
      <c r="M74" s="1281"/>
      <c r="N74" s="1281"/>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73</v>
      </c>
      <c r="B75" s="115" t="s">
        <v>1893</v>
      </c>
      <c r="C75" s="117">
        <f>ROUND(IF(G78="2016年5月1日后购买",C76/(1+'数据-取费表'!F30)+C77+C78,C76+C77+C78),0)</f>
        <v>0</v>
      </c>
      <c r="D75" s="117" t="s">
        <v>41</v>
      </c>
      <c r="E75" s="1882"/>
      <c r="F75" s="1883"/>
      <c r="G75" s="1883"/>
      <c r="H75" s="134"/>
      <c r="I75" s="2274"/>
      <c r="J75" s="1281"/>
      <c r="K75" s="1281"/>
      <c r="L75" s="1281"/>
      <c r="M75" s="1281"/>
      <c r="N75" s="1281"/>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14.25">
      <c r="A76" s="136" t="s">
        <v>74</v>
      </c>
      <c r="B76" s="115" t="s">
        <v>1894</v>
      </c>
      <c r="C76" s="137"/>
      <c r="D76" s="117" t="s">
        <v>41</v>
      </c>
      <c r="E76" s="138" t="s">
        <v>1895</v>
      </c>
      <c r="F76" s="2275" t="s">
        <v>1896</v>
      </c>
      <c r="G76" s="138" t="s">
        <v>1897</v>
      </c>
      <c r="H76" s="139"/>
      <c r="I76" s="9"/>
      <c r="J76" s="1281"/>
      <c r="K76" s="1281"/>
      <c r="L76" s="1281"/>
      <c r="M76" s="1281"/>
      <c r="N76" s="1281"/>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75</v>
      </c>
      <c r="B77" s="140" t="s">
        <v>1898</v>
      </c>
      <c r="C77" s="117">
        <f>IF(F76="购房发票",ROUND(C76*H76*D77,0),0)</f>
        <v>0</v>
      </c>
      <c r="D77" s="141">
        <v>0.05</v>
      </c>
      <c r="E77" s="2889" t="s">
        <v>1899</v>
      </c>
      <c r="F77" s="2887"/>
      <c r="G77" s="2887"/>
      <c r="H77" s="2929"/>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6" t="s">
        <v>1902</v>
      </c>
      <c r="H78" s="1884" t="str">
        <f>IF(G78="个人买卖住房","免征印花税"," ")</f>
        <v xml:space="preserve"> </v>
      </c>
      <c r="I78" s="2274"/>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24.75" customHeight="1">
      <c r="A79" s="136" t="s">
        <v>77</v>
      </c>
      <c r="B79" s="115" t="s">
        <v>1903</v>
      </c>
      <c r="C79" s="144">
        <f ca="1">ROUND(D46*D79/(1+'数据-取费表'!F30),0)</f>
        <v>101028</v>
      </c>
      <c r="D79" s="145">
        <f>'数据-取费表'!E31</f>
        <v>6.000000000000001E-3</v>
      </c>
      <c r="E79" s="2918" t="s">
        <v>1904</v>
      </c>
      <c r="F79" s="2919"/>
      <c r="G79" s="2919"/>
      <c r="H79" s="2920"/>
      <c r="I79" s="2277"/>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14.25">
      <c r="A80" s="146" t="s">
        <v>42</v>
      </c>
      <c r="B80" s="121" t="s">
        <v>1905</v>
      </c>
      <c r="C80" s="124">
        <f ca="1">C73-C74</f>
        <v>16736901</v>
      </c>
      <c r="D80" s="117" t="s">
        <v>41</v>
      </c>
      <c r="E80" s="1882"/>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14.25">
      <c r="A81" s="146" t="s">
        <v>43</v>
      </c>
      <c r="B81" s="121" t="s">
        <v>1906</v>
      </c>
      <c r="C81" s="147">
        <f ca="1">IF(C80&lt;=0,0,C80/C74)</f>
        <v>165.66596389119849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15" thickBot="1">
      <c r="A82" s="148" t="s">
        <v>44</v>
      </c>
      <c r="B82" s="126" t="s">
        <v>1907</v>
      </c>
      <c r="C82" s="149">
        <f ca="1">ROUND(IF(C80&lt;=0,0,IF(C81&gt;=200%,C80*60%-C74*35%,IF(C81&gt;=100%,C80*50%-C74*15%,IF(C81&gt;=50%,C80*40%-C74*5%,IF(C81&lt;50%,C80*30%,0))))),0)</f>
        <v>10006781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5" thickBot="1">
      <c r="A84" s="2927" t="s">
        <v>1908</v>
      </c>
      <c r="B84" s="2928"/>
      <c r="C84" s="2928"/>
      <c r="D84" s="2928"/>
      <c r="E84" s="2928"/>
      <c r="F84" s="2928"/>
      <c r="G84" s="2928"/>
      <c r="H84" s="2928"/>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14.25">
      <c r="A85" s="2916" t="s">
        <v>1869</v>
      </c>
      <c r="B85" s="2917"/>
      <c r="C85" s="1879"/>
      <c r="D85" s="1879" t="s">
        <v>1870</v>
      </c>
      <c r="E85" s="130" t="s">
        <v>1871</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3">
        <v>1</v>
      </c>
      <c r="B86" s="121" t="s">
        <v>1890</v>
      </c>
      <c r="C86" s="124">
        <f ca="1">ROUND(D46/(1+'数据-取费表'!F30),0)</f>
        <v>16837929</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5">
        <v>2</v>
      </c>
      <c r="B87" s="89" t="s">
        <v>1892</v>
      </c>
      <c r="C87" s="124">
        <f ca="1">IF(H89="仅含出让金",C88+C91+C92+C93+C94+C95,C88+C92+C93+C94+C95)</f>
        <v>101028</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73</v>
      </c>
      <c r="B88" s="115" t="s">
        <v>1909</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74</v>
      </c>
      <c r="B89" s="115" t="s">
        <v>1910</v>
      </c>
      <c r="C89" s="157"/>
      <c r="D89" s="145"/>
      <c r="E89" s="158" t="s">
        <v>1911</v>
      </c>
      <c r="F89" s="1876"/>
      <c r="G89" s="159" t="s">
        <v>1912</v>
      </c>
      <c r="H89" s="22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75</v>
      </c>
      <c r="B90" s="115" t="s">
        <v>1900</v>
      </c>
      <c r="C90" s="144">
        <f>ROUND(C89*D90,0)</f>
        <v>0</v>
      </c>
      <c r="D90" s="145">
        <f>'数据-取费表'!E36+'数据-取费表'!E37</f>
        <v>3.0499999999999999E-2</v>
      </c>
      <c r="E90" s="158" t="s">
        <v>1913</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14.25">
      <c r="A91" s="136" t="s">
        <v>77</v>
      </c>
      <c r="B91" s="115" t="s">
        <v>1914</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30.75" customHeight="1">
      <c r="A92" s="136" t="s">
        <v>78</v>
      </c>
      <c r="B92" s="115" t="s">
        <v>1915</v>
      </c>
      <c r="C92" s="144">
        <f>IF(H92="——",成本法!C33,I92)</f>
        <v>0</v>
      </c>
      <c r="D92" s="145"/>
      <c r="E92" s="2918" t="s">
        <v>1916</v>
      </c>
      <c r="F92" s="2919"/>
      <c r="G92" s="2919"/>
      <c r="H92" s="2279" t="s">
        <v>1917</v>
      </c>
      <c r="I92" s="2280"/>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79</v>
      </c>
      <c r="B93" s="115" t="s">
        <v>1918</v>
      </c>
      <c r="C93" s="144">
        <f>ROUND((C88+C91+C92)*D93,0)</f>
        <v>0</v>
      </c>
      <c r="D93" s="145">
        <v>0.1</v>
      </c>
      <c r="E93" s="2918" t="s">
        <v>1919</v>
      </c>
      <c r="F93" s="2919"/>
      <c r="G93" s="2919"/>
      <c r="H93" s="2920"/>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80</v>
      </c>
      <c r="B94" s="115" t="s">
        <v>1903</v>
      </c>
      <c r="C94" s="144">
        <f ca="1">ROUND(D46*D94/(1+'数据-取费表'!F30),0)</f>
        <v>101028</v>
      </c>
      <c r="D94" s="145">
        <f>'数据-取费表'!E31</f>
        <v>6.000000000000001E-3</v>
      </c>
      <c r="E94" s="2918" t="s">
        <v>1904</v>
      </c>
      <c r="F94" s="2919"/>
      <c r="G94" s="2919"/>
      <c r="H94" s="2920"/>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25.5" customHeight="1">
      <c r="A95" s="136" t="s">
        <v>81</v>
      </c>
      <c r="B95" s="115" t="s">
        <v>1920</v>
      </c>
      <c r="C95" s="144">
        <f>ROUND((C88+C91+C92)*D95,0)</f>
        <v>0</v>
      </c>
      <c r="D95" s="145">
        <v>0.2</v>
      </c>
      <c r="E95" s="2918" t="s">
        <v>1921</v>
      </c>
      <c r="F95" s="2919"/>
      <c r="G95" s="2919"/>
      <c r="H95" s="2920"/>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14.25">
      <c r="A96" s="146" t="s">
        <v>42</v>
      </c>
      <c r="B96" s="121" t="s">
        <v>1905</v>
      </c>
      <c r="C96" s="124">
        <f ca="1">ROUND(C86-C87,0)</f>
        <v>16736901</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14.25">
      <c r="A97" s="146" t="s">
        <v>43</v>
      </c>
      <c r="B97" s="121" t="s">
        <v>1906</v>
      </c>
      <c r="C97" s="147">
        <f ca="1">IF(C96&lt;=0,0,C96/C87)</f>
        <v>165.66596389119849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s="2272" customFormat="1" ht="15" thickBot="1">
      <c r="A98" s="148" t="s">
        <v>44</v>
      </c>
      <c r="B98" s="126" t="s">
        <v>1907</v>
      </c>
      <c r="C98" s="149">
        <f ca="1">ROUND(IF(C96&lt;=0,0,IF(C97&gt;=200%,C96*60%-C87*35%,IF(C97&gt;=100%,C96*50%-C87*15%,IF(C97&gt;=50%,C96*40%-C87*5%,IF(C97&lt;50%,C96*30%,0))))),0)</f>
        <v>10006781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3"/>
      <c r="AB98" s="2273"/>
      <c r="AC98" s="2273"/>
      <c r="AD98" s="2273"/>
      <c r="AE98" s="2273"/>
      <c r="AF98" s="2273"/>
      <c r="AG98" s="2273"/>
      <c r="AH98" s="2273"/>
      <c r="AI98" s="2273"/>
    </row>
    <row r="99" spans="1:35" ht="21.75" customHeight="1" thickBot="1">
      <c r="A99" s="2242" t="s">
        <v>1922</v>
      </c>
      <c r="B99" s="2186"/>
      <c r="C99" s="2186"/>
      <c r="D99" s="2186"/>
      <c r="E99" s="1017"/>
      <c r="F99" s="1017"/>
      <c r="G99" s="1017"/>
      <c r="H99" s="2239"/>
      <c r="I99" s="2186"/>
    </row>
    <row r="100" spans="1:35" ht="15.75">
      <c r="A100" s="2921" t="s">
        <v>1923</v>
      </c>
      <c r="B100" s="2922"/>
      <c r="C100" s="2922"/>
      <c r="D100" s="2923"/>
      <c r="E100" s="2186"/>
      <c r="F100" s="2924" t="s">
        <v>1924</v>
      </c>
      <c r="G100" s="2925"/>
      <c r="H100" s="2925"/>
      <c r="I100" s="2926"/>
    </row>
    <row r="101" spans="1:35" ht="30">
      <c r="A101" s="2930" t="s">
        <v>1925</v>
      </c>
      <c r="B101" s="2931"/>
      <c r="C101" s="719" t="str">
        <f>C4</f>
        <v>典型户型修正</v>
      </c>
      <c r="D101" s="720" t="str">
        <f>D4</f>
        <v>典型户型修正</v>
      </c>
      <c r="E101" s="2186"/>
      <c r="F101" s="2932" t="s">
        <v>1926</v>
      </c>
      <c r="G101" s="2933"/>
      <c r="H101" s="2934" t="s">
        <v>1927</v>
      </c>
      <c r="I101" s="2935"/>
    </row>
    <row r="102" spans="1:35" ht="15.75">
      <c r="A102" s="2936" t="s">
        <v>1987</v>
      </c>
      <c r="B102" s="2281" t="str">
        <f>IF(H19="元","总价（元）","总价（万元）")</f>
        <v>总价（元）</v>
      </c>
      <c r="C102" s="719">
        <f ca="1">C19</f>
        <v>17679825</v>
      </c>
      <c r="D102" s="720">
        <f ca="1">D19</f>
        <v>17679825</v>
      </c>
      <c r="E102" s="2186"/>
      <c r="F102" s="2937"/>
      <c r="G102" s="2938"/>
      <c r="H102" s="2939">
        <f>典型户型修正!B25</f>
        <v>148.04</v>
      </c>
      <c r="I102" s="2935"/>
    </row>
    <row r="103" spans="1:35" ht="15.75">
      <c r="A103" s="2936"/>
      <c r="B103" s="2281" t="s">
        <v>1929</v>
      </c>
      <c r="C103" s="721">
        <f ca="1">C20</f>
        <v>119426</v>
      </c>
      <c r="D103" s="722">
        <f ca="1">D20</f>
        <v>119426</v>
      </c>
      <c r="E103" s="2186"/>
      <c r="F103" s="2940" t="s">
        <v>1930</v>
      </c>
      <c r="G103" s="2941"/>
      <c r="H103" s="2282" t="str">
        <f>C109</f>
        <v>总价（元）</v>
      </c>
      <c r="I103" s="1857">
        <f ca="1">H124</f>
        <v>17679825</v>
      </c>
    </row>
    <row r="104" spans="1:35" ht="15">
      <c r="A104" s="2936" t="s">
        <v>1988</v>
      </c>
      <c r="B104" s="2283" t="str">
        <f>B102</f>
        <v>总价（元）</v>
      </c>
      <c r="C104" s="1185">
        <f ca="1">ROUND(IF('数据-取费表'!B4="总价",G19,IF(H19="元",G20*'数据-取费表'!E5,G20*'数据-取费表'!E5/10000)),0)</f>
        <v>0</v>
      </c>
      <c r="D104" s="724"/>
      <c r="E104" s="2186"/>
      <c r="F104" s="2940"/>
      <c r="G104" s="2941"/>
      <c r="H104" s="2282" t="s">
        <v>1929</v>
      </c>
      <c r="I104" s="1045">
        <f ca="1">I124</f>
        <v>119426</v>
      </c>
    </row>
    <row r="105" spans="1:35" ht="15.75">
      <c r="A105" s="2936"/>
      <c r="B105" s="2281" t="s">
        <v>1929</v>
      </c>
      <c r="C105" s="1186">
        <f ca="1">ROUND(IF('数据-取费表'!B4="楼面单价",G20,IF(H19="元",G19/'数据-取费表'!E5,G19*10000/'数据-取费表'!E5)),0)</f>
        <v>119426</v>
      </c>
      <c r="D105" s="724"/>
      <c r="E105" s="2186"/>
      <c r="F105" s="2942"/>
      <c r="G105" s="2943"/>
      <c r="H105" s="2944"/>
      <c r="I105" s="2945"/>
    </row>
    <row r="106" spans="1:35" ht="15.75">
      <c r="A106" s="2983" t="s">
        <v>1989</v>
      </c>
      <c r="B106" s="2321" t="str">
        <f>B102</f>
        <v>总价（元）</v>
      </c>
      <c r="C106" s="723">
        <f ca="1">H124</f>
        <v>17679825</v>
      </c>
      <c r="D106" s="1184"/>
      <c r="E106" s="2186"/>
      <c r="F106" s="2951" t="s">
        <v>1933</v>
      </c>
      <c r="G106" s="2952"/>
      <c r="H106" s="2285" t="str">
        <f>C111</f>
        <v>总额（元）</v>
      </c>
      <c r="I106" s="1857">
        <f>SUMIF(I107:I109,"&lt;9E307")</f>
        <v>0</v>
      </c>
    </row>
    <row r="107" spans="1:35" ht="15.75" thickBot="1">
      <c r="A107" s="2984"/>
      <c r="B107" s="2284" t="s">
        <v>1929</v>
      </c>
      <c r="C107" s="725">
        <f ca="1">I124</f>
        <v>119426</v>
      </c>
      <c r="D107" s="726"/>
      <c r="E107" s="2186"/>
      <c r="F107" s="2949" t="s">
        <v>1935</v>
      </c>
      <c r="G107" s="2950"/>
      <c r="H107" s="2285" t="str">
        <f>C112</f>
        <v>总额（元）</v>
      </c>
      <c r="I107" s="1045">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46" t="s">
        <v>1932</v>
      </c>
      <c r="B108" s="2947"/>
      <c r="C108" s="2947"/>
      <c r="D108" s="2948"/>
      <c r="E108" s="2186"/>
      <c r="F108" s="2949" t="s">
        <v>1936</v>
      </c>
      <c r="G108" s="2950"/>
      <c r="H108" s="2285" t="str">
        <f>C113</f>
        <v>总额（元）</v>
      </c>
      <c r="I108" s="1045">
        <f>C38</f>
        <v>0</v>
      </c>
      <c r="K108" s="2286"/>
    </row>
    <row r="109" spans="1:35" ht="15">
      <c r="A109" s="2953" t="s">
        <v>1990</v>
      </c>
      <c r="B109" s="2954"/>
      <c r="C109" s="2282" t="str">
        <f>B102</f>
        <v>总价（元）</v>
      </c>
      <c r="D109" s="1046">
        <f ca="1">H124</f>
        <v>17679825</v>
      </c>
      <c r="E109" s="2186"/>
      <c r="F109" s="2949" t="s">
        <v>1938</v>
      </c>
      <c r="G109" s="2950"/>
      <c r="H109" s="2285" t="str">
        <f>C114</f>
        <v>总额（元）</v>
      </c>
      <c r="I109" s="1045">
        <f>C39</f>
        <v>0</v>
      </c>
    </row>
    <row r="110" spans="1:35" ht="15.75">
      <c r="A110" s="2953"/>
      <c r="B110" s="2954"/>
      <c r="C110" s="2282" t="s">
        <v>1929</v>
      </c>
      <c r="D110" s="1047">
        <f ca="1">I124</f>
        <v>119426</v>
      </c>
      <c r="E110" s="2186"/>
      <c r="F110" s="2942"/>
      <c r="G110" s="2943"/>
      <c r="H110" s="2957"/>
      <c r="I110" s="2958"/>
    </row>
    <row r="111" spans="1:35" ht="28.5" customHeight="1">
      <c r="A111" s="2955" t="s">
        <v>1937</v>
      </c>
      <c r="B111" s="2956"/>
      <c r="C111" s="2285" t="str">
        <f>IF(H19="元","总额（元）","总额（万元）")</f>
        <v>总额（元）</v>
      </c>
      <c r="D111" s="1046">
        <f>IF(D37="正常操作",I107+I108+I109,I108+I109)</f>
        <v>0</v>
      </c>
      <c r="E111" s="2186"/>
      <c r="F111" s="2959" t="str">
        <f>IF(项目基本情况!F5="已注销","——","3.房地产抵押价值")</f>
        <v>3.房地产抵押价值</v>
      </c>
      <c r="G111" s="2960"/>
      <c r="H111" s="2322" t="str">
        <f>C115</f>
        <v>总价（元）</v>
      </c>
      <c r="I111" s="1857">
        <f ca="1">IF(F111="——","——",I103-I106)</f>
        <v>17679825</v>
      </c>
    </row>
    <row r="112" spans="1:35" ht="15">
      <c r="A112" s="2949" t="s">
        <v>1935</v>
      </c>
      <c r="B112" s="2950"/>
      <c r="C112" s="2285" t="str">
        <f>C111</f>
        <v>总额（元）</v>
      </c>
      <c r="D112" s="637">
        <f>IF(D37="同一抵押权人同一抵押物续贷",C37&amp;"（未扣减，详见特别提示）",C37)</f>
        <v>0</v>
      </c>
      <c r="E112" s="2186"/>
      <c r="F112" s="2961"/>
      <c r="G112" s="2962"/>
      <c r="H112" s="2282" t="s">
        <v>1929</v>
      </c>
      <c r="I112" s="2288">
        <f ca="1">D116</f>
        <v>119426</v>
      </c>
    </row>
    <row r="113" spans="1:26" ht="15.75">
      <c r="A113" s="2949" t="s">
        <v>1936</v>
      </c>
      <c r="B113" s="2950"/>
      <c r="C113" s="2285" t="str">
        <f>C111</f>
        <v>总额（元）</v>
      </c>
      <c r="D113" s="637">
        <f>C38</f>
        <v>0</v>
      </c>
      <c r="E113" s="2186"/>
      <c r="F113" s="2959" t="str">
        <f>IF(项目基本情况!F5="已注销及未注销","4.抵押担保权已注销时的房地产抵押价值",IF(项目基本情况!F5="已注销","3.抵押担保权已注销时的房地产抵押价值","——"))</f>
        <v>——</v>
      </c>
      <c r="G113" s="2960"/>
      <c r="H113" s="2322" t="str">
        <f>C117</f>
        <v>总价（元）</v>
      </c>
      <c r="I113" s="1857" t="str">
        <f>IF(F113="——","——",I103-I108-I109)</f>
        <v>——</v>
      </c>
    </row>
    <row r="114" spans="1:26" ht="15">
      <c r="A114" s="2949" t="s">
        <v>1938</v>
      </c>
      <c r="B114" s="2950"/>
      <c r="C114" s="2285" t="str">
        <f>C111</f>
        <v>总额（元）</v>
      </c>
      <c r="D114" s="637">
        <f>C39</f>
        <v>0</v>
      </c>
      <c r="E114" s="2186"/>
      <c r="F114" s="2961"/>
      <c r="G114" s="2962"/>
      <c r="H114" s="2282" t="s">
        <v>1929</v>
      </c>
      <c r="I114" s="1045" t="str">
        <f>D118</f>
        <v>——</v>
      </c>
    </row>
    <row r="115" spans="1:26" ht="15.75">
      <c r="A115" s="2953" t="str">
        <f>IF(项目基本情况!F5="已注销","——","3.房地产抵押价值")</f>
        <v>3.房地产抵押价值</v>
      </c>
      <c r="B115" s="2954"/>
      <c r="C115" s="2282" t="str">
        <f>B102</f>
        <v>总价（元）</v>
      </c>
      <c r="D115" s="1046">
        <f ca="1">IF(A115="——","——",D109-D111)</f>
        <v>17679825</v>
      </c>
      <c r="E115" s="2186"/>
      <c r="F115" s="2959" t="str">
        <f>IF(项目基本情况!G5="抵押净值",IF(OR(项目基本情况!F5="已注销",项目基本情况!F5="房地产抵押价值"),"4.抵押净值","5.抵押净值"),"——")</f>
        <v>——</v>
      </c>
      <c r="G115" s="2960"/>
      <c r="H115" s="2282" t="str">
        <f>C119</f>
        <v>总价（元）</v>
      </c>
      <c r="I115" s="1857" t="str">
        <f>IF(F115="——","——",N60)</f>
        <v>——</v>
      </c>
    </row>
    <row r="116" spans="1:26" ht="15.75" thickBot="1">
      <c r="A116" s="2953"/>
      <c r="B116" s="2954"/>
      <c r="C116" s="2282" t="s">
        <v>1991</v>
      </c>
      <c r="D116" s="1047">
        <f ca="1">ROUND(IF(D115=D109,D110,IF(H19="元",D115/B124,D115*10000/B124)),0)</f>
        <v>119426</v>
      </c>
      <c r="E116" s="2186"/>
      <c r="F116" s="2968"/>
      <c r="G116" s="2969"/>
      <c r="H116" s="2290" t="s">
        <v>1991</v>
      </c>
      <c r="I116" s="1859" t="str">
        <f ca="1">D120</f>
        <v>——</v>
      </c>
    </row>
    <row r="117" spans="1:26" ht="15.75">
      <c r="A117" s="2953" t="str">
        <f>IF(项目基本情况!F5="已注销及未注销","4.抵押担保权已注销时的房地产抵押价值",IF(项目基本情况!F5="已注销","3.抵押担保权已注销时的房地产抵押价值","——"))</f>
        <v>——</v>
      </c>
      <c r="B117" s="2954"/>
      <c r="C117" s="2282" t="str">
        <f>B102</f>
        <v>总价（元）</v>
      </c>
      <c r="D117" s="1046" t="str">
        <f>IF(A117="——","——",D109-D113-D114)</f>
        <v>——</v>
      </c>
      <c r="E117" s="2186"/>
      <c r="F117" s="2972"/>
      <c r="G117" s="2972"/>
      <c r="H117" s="2973"/>
      <c r="I117" s="2973"/>
      <c r="N117" s="55"/>
      <c r="O117" s="55"/>
    </row>
    <row r="118" spans="1:26" s="1840" customFormat="1" ht="15">
      <c r="A118" s="2953"/>
      <c r="B118" s="2954"/>
      <c r="C118" s="2282" t="s">
        <v>1991</v>
      </c>
      <c r="D118" s="1047" t="str">
        <f>IF(A117="——","——",IF(H19="元",ROUND(D117/B124,0),ROUND(D117*10000/B124,0)))</f>
        <v>——</v>
      </c>
      <c r="E118" s="2186"/>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7"/>
      <c r="K118" s="797"/>
      <c r="L118" s="797"/>
      <c r="M118" s="797"/>
      <c r="N118" s="55"/>
      <c r="O118" s="55"/>
      <c r="P118" s="797"/>
      <c r="Q118" s="797"/>
      <c r="R118" s="797"/>
      <c r="S118" s="797"/>
      <c r="T118" s="797"/>
      <c r="U118" s="797"/>
      <c r="V118" s="797"/>
      <c r="W118" s="797"/>
      <c r="X118" s="797"/>
      <c r="Y118" s="797"/>
      <c r="Z118" s="797"/>
    </row>
    <row r="119" spans="1:26" s="1840" customFormat="1" ht="15">
      <c r="A119" s="2953" t="str">
        <f>IF(项目基本情况!G5="抵押净值",IF(OR(项目基本情况!F5="已注销",项目基本情况!F5="房地产抵押价值"),"4.抵押净值","5.抵押净值"),"——")</f>
        <v>——</v>
      </c>
      <c r="B119" s="2954"/>
      <c r="C119" s="2282" t="str">
        <f>B102</f>
        <v>总价（元）</v>
      </c>
      <c r="D119" s="1046"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70"/>
      <c r="B120" s="2971"/>
      <c r="C120" s="2290" t="s">
        <v>1991</v>
      </c>
      <c r="D120" s="1048"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0" customFormat="1" ht="15">
      <c r="A121" s="2975" t="s">
        <v>1992</v>
      </c>
      <c r="B121" s="2976"/>
      <c r="C121" s="2976"/>
      <c r="D121" s="2976"/>
      <c r="E121" s="2976"/>
      <c r="F121" s="2976"/>
      <c r="G121" s="2976"/>
      <c r="H121" s="2976"/>
      <c r="I121" s="2976"/>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991" t="s">
        <v>1940</v>
      </c>
      <c r="B122" s="2963" t="s">
        <v>1993</v>
      </c>
      <c r="C122" s="2963" t="s">
        <v>1994</v>
      </c>
      <c r="D122" s="2965" t="s">
        <v>1943</v>
      </c>
      <c r="E122" s="2966"/>
      <c r="F122" s="2875" t="s">
        <v>1995</v>
      </c>
      <c r="G122" s="2875"/>
      <c r="H122" s="2875" t="s">
        <v>1944</v>
      </c>
      <c r="I122" s="2967"/>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991"/>
      <c r="B123" s="2964"/>
      <c r="C123" s="2964"/>
      <c r="D123" s="1881" t="s">
        <v>1945</v>
      </c>
      <c r="E123" s="1881" t="s">
        <v>1946</v>
      </c>
      <c r="F123" s="1881" t="s">
        <v>1945</v>
      </c>
      <c r="G123" s="1881" t="s">
        <v>1947</v>
      </c>
      <c r="H123" s="1881" t="s">
        <v>1945</v>
      </c>
      <c r="I123" s="637" t="s">
        <v>1947</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2" t="str">
        <f>项目基本情况!I1</f>
        <v>北京市房地产</v>
      </c>
      <c r="B124" s="1881">
        <f>典型户型修正!B25</f>
        <v>148.04</v>
      </c>
      <c r="C124" s="400"/>
      <c r="D124" s="1881">
        <f>C35</f>
        <v>0</v>
      </c>
      <c r="E124" s="1881">
        <f>ROUND(IF(H19="元",D124/B124,D124*10000/B124),0)</f>
        <v>0</v>
      </c>
      <c r="F124" s="1881">
        <f>C36</f>
        <v>0</v>
      </c>
      <c r="G124" s="1881">
        <f>ROUND(IF(H19="元",F124/B124,F124*10000/B124),0)</f>
        <v>0</v>
      </c>
      <c r="H124" s="1881">
        <f ca="1">C33</f>
        <v>17679825</v>
      </c>
      <c r="I124" s="637">
        <f ca="1">C34</f>
        <v>119426</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991" t="s">
        <v>1948</v>
      </c>
      <c r="B125" s="2875"/>
      <c r="C125" s="2875"/>
      <c r="D125" s="3004" t="str">
        <f>IF(H19="元",NUMBERSTRING(INT(D124),2)&amp;"元整",NUMBERSTRING(INT(D124*10000),2)&amp;"元整")</f>
        <v>零元整</v>
      </c>
      <c r="E125" s="3005"/>
      <c r="F125" s="3004" t="str">
        <f>IF(H19="元",NUMBERSTRING(INT(F124),2)&amp;"元整",NUMBERSTRING(INT(F124*10000),2)&amp;"元整")</f>
        <v>零元整</v>
      </c>
      <c r="G125" s="3005"/>
      <c r="H125" s="3004" t="str">
        <f ca="1">IF(H19="元",NUMBERSTRING(INT(H124),2)&amp;"元整",NUMBERSTRING(INT(H124*10000),2)&amp;"元整")</f>
        <v>壹仟柒佰陆拾柒万玖仟捌佰贰拾伍元整</v>
      </c>
      <c r="I125" s="3006"/>
      <c r="J125" s="797"/>
      <c r="K125" s="797"/>
      <c r="L125" s="797"/>
      <c r="M125" s="797"/>
      <c r="N125" s="797"/>
      <c r="O125" s="797"/>
      <c r="P125" s="797"/>
      <c r="Q125" s="797"/>
      <c r="R125" s="797"/>
      <c r="S125" s="797"/>
      <c r="T125" s="797"/>
      <c r="U125" s="797"/>
      <c r="V125" s="797"/>
      <c r="W125" s="797"/>
      <c r="X125" s="797"/>
      <c r="Y125" s="797"/>
      <c r="Z125" s="797"/>
    </row>
    <row r="126" spans="1:26" s="1840" customFormat="1" ht="15">
      <c r="A126" s="3007" t="str">
        <f>IF(项目基本情况!D5="房地产市场价值","——",MID(A111,3,LEN(A111)-2))</f>
        <v>估价师所知悉的法定优先受偿款</v>
      </c>
      <c r="B126" s="3002"/>
      <c r="C126" s="3008"/>
      <c r="D126" s="2994">
        <f>I106</f>
        <v>0</v>
      </c>
      <c r="E126" s="3002"/>
      <c r="F126" s="3002"/>
      <c r="G126" s="3002"/>
      <c r="H126" s="3002"/>
      <c r="I126" s="3003"/>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96" t="s">
        <v>1948</v>
      </c>
      <c r="B127" s="2997"/>
      <c r="C127" s="2998"/>
      <c r="D127" s="2999">
        <f>H110</f>
        <v>0</v>
      </c>
      <c r="E127" s="3000"/>
      <c r="F127" s="3000"/>
      <c r="G127" s="3000"/>
      <c r="H127" s="3000"/>
      <c r="I127" s="3001"/>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86" t="str">
        <f>IF(项目基本情况!D5="房地产市场价值","——",MID(A115,3,LEN(A115)-2))</f>
        <v>房地产抵押价值</v>
      </c>
      <c r="B128" s="2987"/>
      <c r="C128" s="2987"/>
      <c r="D128" s="2994">
        <f ca="1">I111</f>
        <v>17679825</v>
      </c>
      <c r="E128" s="3002"/>
      <c r="F128" s="3002"/>
      <c r="G128" s="3002"/>
      <c r="H128" s="3002"/>
      <c r="I128" s="3003"/>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991" t="s">
        <v>1948</v>
      </c>
      <c r="B129" s="2875"/>
      <c r="C129" s="2875"/>
      <c r="D129" s="2999">
        <f ca="1">I112</f>
        <v>119426</v>
      </c>
      <c r="E129" s="3000"/>
      <c r="F129" s="3000"/>
      <c r="G129" s="3000"/>
      <c r="H129" s="3000"/>
      <c r="I129" s="3001"/>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86" t="str">
        <f>IF(项目基本情况!D5="房地产市场价值","——",MID(A117,3,LEN(A117)-2))</f>
        <v/>
      </c>
      <c r="B130" s="2987"/>
      <c r="C130" s="2987"/>
      <c r="D130" s="2988" t="str">
        <f>I113</f>
        <v>——</v>
      </c>
      <c r="E130" s="2989"/>
      <c r="F130" s="2989"/>
      <c r="G130" s="2989"/>
      <c r="H130" s="2989"/>
      <c r="I130" s="2990"/>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991" t="s">
        <v>1948</v>
      </c>
      <c r="B131" s="2875"/>
      <c r="C131" s="2992"/>
      <c r="D131" s="2993" t="str">
        <f>I114</f>
        <v>——</v>
      </c>
      <c r="E131" s="2993"/>
      <c r="F131" s="2993"/>
      <c r="G131" s="2993"/>
      <c r="H131" s="2993"/>
      <c r="I131" s="2993"/>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86" t="str">
        <f>IF(项目基本情况!D5="房地产市场价值","——",MID(F115,3,LEN(F115)-2))</f>
        <v/>
      </c>
      <c r="B132" s="2987"/>
      <c r="C132" s="2994"/>
      <c r="D132" s="2995" t="str">
        <f>I115</f>
        <v>——</v>
      </c>
      <c r="E132" s="2995"/>
      <c r="F132" s="2995"/>
      <c r="G132" s="2995"/>
      <c r="H132" s="2995"/>
      <c r="I132" s="2995"/>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977" t="s">
        <v>1948</v>
      </c>
      <c r="B133" s="2978"/>
      <c r="C133" s="2978"/>
      <c r="D133" s="2979">
        <f>H117</f>
        <v>0</v>
      </c>
      <c r="E133" s="2980"/>
      <c r="F133" s="2980"/>
      <c r="G133" s="2980"/>
      <c r="H133" s="2980"/>
      <c r="I133" s="2981"/>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982" t="str">
        <f>IF(B32="总价","（以上估价结果中楼面单价为总价除以建筑面积得出）","（以上估价结果中总价为楼面单价乘以建筑面积得出）")</f>
        <v>（以上估价结果中总价为楼面单价乘以建筑面积得出）</v>
      </c>
      <c r="B135" s="2982"/>
      <c r="C135" s="2982"/>
      <c r="D135" s="2982"/>
      <c r="E135" s="2982"/>
      <c r="F135" s="2982"/>
      <c r="G135" s="2982"/>
      <c r="H135" s="2982"/>
      <c r="I135" s="2982"/>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1" t="s">
        <v>1949</v>
      </c>
      <c r="B136" s="2292"/>
      <c r="C136" s="2293" t="s">
        <v>1950</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4" t="s">
        <v>1951</v>
      </c>
      <c r="G142" s="2305"/>
      <c r="H142" s="2305"/>
      <c r="I142" s="2306" t="s">
        <v>1952</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7"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5"/>
      <c r="C145" s="2305"/>
      <c r="D145" s="2305"/>
      <c r="E145" s="2305"/>
      <c r="F145" s="2305"/>
      <c r="G145" s="2305"/>
      <c r="H145" s="2305"/>
      <c r="I145" s="2306" t="s">
        <v>1954</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7"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5"/>
      <c r="C148" s="2305"/>
      <c r="D148" s="2305"/>
      <c r="E148" s="2305"/>
      <c r="F148" s="2305"/>
      <c r="G148" s="2305"/>
      <c r="H148" s="2305"/>
      <c r="I148" s="2306" t="s">
        <v>1954</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6"/>
      <c r="C1" s="162"/>
      <c r="D1" s="162"/>
      <c r="E1" s="162"/>
      <c r="F1" s="162"/>
      <c r="G1" s="163"/>
    </row>
    <row r="2" spans="1:7" s="164" customFormat="1" ht="18" customHeight="1">
      <c r="A2" s="165" t="s">
        <v>1997</v>
      </c>
      <c r="B2" s="166">
        <f ca="1">IF(D2="——",IF(C2="元",C52,ROUND(C52/10000,0)),IF(C2="元",C52,ROUND(C52/10000,0))-E2)</f>
        <v>2334061</v>
      </c>
      <c r="C2" s="163" t="str">
        <f>'数据-取费表'!B3</f>
        <v>元</v>
      </c>
      <c r="D2" s="2324" t="s">
        <v>1247</v>
      </c>
      <c r="E2" s="1541" t="e">
        <f ca="1">SUMIF(INDIRECT("'"&amp;G2&amp;"'"&amp;"!A:A"),"承租人权益价值",INDIRECT("'"&amp;G2&amp;"'"&amp;"!c:c"))</f>
        <v>#REF!</v>
      </c>
      <c r="F2" s="2325" t="str">
        <f>C2</f>
        <v>元</v>
      </c>
      <c r="G2" s="1900"/>
    </row>
    <row r="3" spans="1:7" s="164" customFormat="1" ht="18" customHeight="1" thickBot="1">
      <c r="A3" s="167" t="s">
        <v>1998</v>
      </c>
      <c r="B3" s="168">
        <f ca="1">ROUND(C52/IF(B1="仅计算典型户型",'数据-取费表'!E5,'数据-取费表'!B5),0)</f>
        <v>8923</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7" t="s">
        <v>2004</v>
      </c>
      <c r="F5" s="1527" t="s">
        <v>2005</v>
      </c>
      <c r="G5" s="174"/>
    </row>
    <row r="6" spans="1:7" s="175" customFormat="1" ht="13.5" customHeight="1">
      <c r="A6" s="176" t="s">
        <v>2006</v>
      </c>
      <c r="B6" s="177" t="s">
        <v>2007</v>
      </c>
      <c r="C6" s="1526">
        <v>1000000</v>
      </c>
      <c r="D6" s="1528"/>
      <c r="E6" s="1529"/>
      <c r="F6" s="1529"/>
      <c r="G6" s="179"/>
    </row>
    <row r="7" spans="1:7" s="175" customFormat="1" ht="13.5" customHeight="1">
      <c r="A7" s="176" t="s">
        <v>2008</v>
      </c>
      <c r="B7" s="177" t="s">
        <v>2009</v>
      </c>
      <c r="C7" s="199">
        <f>ROUND(C6*F7,0)</f>
        <v>30500</v>
      </c>
      <c r="D7" s="199"/>
      <c r="E7" s="1529"/>
      <c r="F7" s="1530">
        <f>'数据-取费表'!E36+'数据-取费表'!E37</f>
        <v>3.0499999999999999E-2</v>
      </c>
      <c r="G7" s="179"/>
    </row>
    <row r="8" spans="1:7" s="180" customFormat="1">
      <c r="A8" s="176" t="s">
        <v>2010</v>
      </c>
      <c r="B8" s="177" t="s">
        <v>2011</v>
      </c>
      <c r="C8" s="199">
        <f>IF(G8="已包含在土地购买价格中","0",'数据-取费表'!E13)</f>
        <v>0</v>
      </c>
      <c r="D8" s="1531"/>
      <c r="E8" s="199"/>
      <c r="F8" s="1530"/>
      <c r="G8" s="2326"/>
    </row>
    <row r="9" spans="1:7" s="175" customFormat="1" ht="13.5" customHeight="1">
      <c r="A9" s="1299" t="s">
        <v>949</v>
      </c>
      <c r="B9" s="181" t="s">
        <v>2012</v>
      </c>
      <c r="C9" s="1532">
        <f>ROUND(D9*E9,0)</f>
        <v>52318</v>
      </c>
      <c r="D9" s="1533">
        <f>IF('数据-取费表'!B10="住宅",IF(B1="仅计算典型户型",'数据-取费表'!E5,'数据-取费表'!B5),0)</f>
        <v>261.58999999999997</v>
      </c>
      <c r="E9" s="1532">
        <f>'数据-取费表'!E11</f>
        <v>200</v>
      </c>
      <c r="F9" s="1530"/>
      <c r="G9" s="182"/>
    </row>
    <row r="10" spans="1:7" s="175" customFormat="1" ht="13.5" customHeight="1">
      <c r="A10" s="1299" t="s">
        <v>950</v>
      </c>
      <c r="B10" s="181" t="s">
        <v>2013</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2014</v>
      </c>
      <c r="C11" s="195"/>
      <c r="D11" s="199"/>
      <c r="E11" s="1529"/>
      <c r="F11" s="1529"/>
      <c r="G11" s="179"/>
    </row>
    <row r="12" spans="1:7" s="175" customFormat="1" ht="13.5" hidden="1" customHeight="1">
      <c r="A12" s="176" t="s">
        <v>5</v>
      </c>
      <c r="B12" s="177" t="s">
        <v>2015</v>
      </c>
      <c r="C12" s="195">
        <v>0</v>
      </c>
      <c r="D12" s="199"/>
      <c r="E12" s="1534"/>
      <c r="F12" s="1530">
        <v>3.0499999999999999E-2</v>
      </c>
      <c r="G12" s="179"/>
    </row>
    <row r="13" spans="1:7" s="175" customFormat="1" ht="13.5" hidden="1" customHeight="1">
      <c r="A13" s="176" t="s">
        <v>6</v>
      </c>
      <c r="B13" s="177" t="s">
        <v>2016</v>
      </c>
      <c r="C13" s="195"/>
      <c r="D13" s="199"/>
      <c r="E13" s="1529"/>
      <c r="F13" s="1529"/>
      <c r="G13" s="179"/>
    </row>
    <row r="14" spans="1:7" s="175" customFormat="1" ht="13.5" hidden="1" customHeight="1">
      <c r="A14" s="176" t="s">
        <v>7</v>
      </c>
      <c r="B14" s="177" t="s">
        <v>2011</v>
      </c>
      <c r="C14" s="195"/>
      <c r="D14" s="199"/>
      <c r="E14" s="1529"/>
      <c r="F14" s="1529"/>
      <c r="G14" s="179" t="s">
        <v>2017</v>
      </c>
    </row>
    <row r="15" spans="1:7" s="175" customFormat="1" ht="13.5" hidden="1" customHeight="1">
      <c r="A15" s="176" t="s">
        <v>8</v>
      </c>
      <c r="B15" s="177" t="s">
        <v>2018</v>
      </c>
      <c r="C15" s="199"/>
      <c r="D15" s="199"/>
      <c r="E15" s="1529"/>
      <c r="F15" s="1529"/>
      <c r="G15" s="179" t="s">
        <v>2019</v>
      </c>
    </row>
    <row r="16" spans="1:7" s="175" customFormat="1" ht="13.5" hidden="1" customHeight="1">
      <c r="A16" s="176" t="s">
        <v>9</v>
      </c>
      <c r="B16" s="177" t="s">
        <v>2011</v>
      </c>
      <c r="C16" s="199"/>
      <c r="D16" s="199"/>
      <c r="E16" s="1529"/>
      <c r="F16" s="1529"/>
      <c r="G16" s="179"/>
    </row>
    <row r="17" spans="1:7" s="175" customFormat="1" ht="13.5" hidden="1" customHeight="1">
      <c r="A17" s="176" t="s">
        <v>10</v>
      </c>
      <c r="B17" s="177" t="s">
        <v>2020</v>
      </c>
      <c r="C17" s="1535"/>
      <c r="D17" s="1535"/>
      <c r="E17" s="1535"/>
      <c r="F17" s="1535"/>
      <c r="G17" s="179" t="s">
        <v>2019</v>
      </c>
    </row>
    <row r="18" spans="1:7" s="175" customFormat="1" ht="13.5" hidden="1" customHeight="1">
      <c r="A18" s="176" t="s">
        <v>11</v>
      </c>
      <c r="B18" s="177" t="s">
        <v>2021</v>
      </c>
      <c r="C18" s="199">
        <v>0</v>
      </c>
      <c r="D18" s="199"/>
      <c r="E18" s="1529"/>
      <c r="F18" s="1530">
        <v>3.0499999999999999E-2</v>
      </c>
      <c r="G18" s="179" t="s">
        <v>2022</v>
      </c>
    </row>
    <row r="19" spans="1:7" s="180" customFormat="1" ht="13.5" customHeight="1">
      <c r="A19" s="204" t="s">
        <v>2023</v>
      </c>
      <c r="B19" s="173" t="s">
        <v>2024</v>
      </c>
      <c r="C19" s="195">
        <f>IF(G19="已包含在土地取得成本中","0",ROUND(D19*E19,0))</f>
        <v>52318</v>
      </c>
      <c r="D19" s="1536">
        <f>IF(B1="仅计算典型户型",'数据-取费表'!E5,'数据-取费表'!B5)</f>
        <v>261.58999999999997</v>
      </c>
      <c r="E19" s="195">
        <f>'数据-取费表'!E15</f>
        <v>200</v>
      </c>
      <c r="F19" s="196"/>
      <c r="G19" s="2326"/>
    </row>
    <row r="20" spans="1:7" s="175" customFormat="1" ht="13.5" customHeight="1">
      <c r="A20" s="204" t="s">
        <v>2025</v>
      </c>
      <c r="B20" s="173" t="s">
        <v>2026</v>
      </c>
      <c r="C20" s="183">
        <f>ROUND((C5+C19)*F20,0)</f>
        <v>21656</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78827</v>
      </c>
      <c r="D22" s="185">
        <f ca="1">C26</f>
        <v>6.9999999999999999E-4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0">
        <f ca="1">ROUND(IF('数据-取费表'!B23&lt;=1,C5*F22*'数据-取费表'!B24,C5*(POWER((1+F22),'数据-取费表'!B24)-1)),0)</f>
        <v>74288</v>
      </c>
      <c r="D23" s="188"/>
      <c r="E23" s="188"/>
      <c r="F23" s="189"/>
      <c r="G23" s="190" t="s">
        <v>2036</v>
      </c>
    </row>
    <row r="24" spans="1:7" s="175" customFormat="1" ht="13.5" customHeight="1">
      <c r="A24" s="176" t="s">
        <v>2008</v>
      </c>
      <c r="B24" s="177" t="s">
        <v>2037</v>
      </c>
      <c r="C24" s="1450">
        <f ca="1">ROUND(IF('数据-取费表'!B23&lt;=1,C19*F22*('数据-取费表'!B20/2+'数据-取费表'!B22),C19*(POWER((1+F22),('数据-取费表'!B20/2+'数据-取费表'!B22))-1)),0)</f>
        <v>3772</v>
      </c>
      <c r="D24" s="188"/>
      <c r="E24" s="188"/>
      <c r="F24" s="189"/>
      <c r="G24" s="190" t="s">
        <v>2038</v>
      </c>
    </row>
    <row r="25" spans="1:7" s="175" customFormat="1" ht="24">
      <c r="A25" s="176" t="s">
        <v>2010</v>
      </c>
      <c r="B25" s="177" t="s">
        <v>2039</v>
      </c>
      <c r="C25" s="1450">
        <f ca="1">ROUND(IF('数据-取费表'!B23&lt;=1,C20*F22*'数据-取费表'!B24/2,C20*(POWER((1+F22),'数据-取费表'!B24/2)-1)),0)</f>
        <v>767</v>
      </c>
      <c r="D25" s="188"/>
      <c r="E25" s="191"/>
      <c r="F25" s="189"/>
      <c r="G25" s="192" t="s">
        <v>2040</v>
      </c>
    </row>
    <row r="26" spans="1:7" s="175" customFormat="1">
      <c r="A26" s="176" t="s">
        <v>2041</v>
      </c>
      <c r="B26" s="177" t="s">
        <v>2042</v>
      </c>
      <c r="C26" s="188">
        <f ca="1">ROUND(IF('数据-取费表'!B23&lt;=1,F21*F22*'数据-取费表'!B24/2,F21*(POWER((1+F22),'数据-取费表'!B24/2)-1)),4)</f>
        <v>6.9999999999999999E-4</v>
      </c>
      <c r="D26" s="188"/>
      <c r="E26" s="191"/>
      <c r="F26" s="189"/>
      <c r="G26" s="193"/>
    </row>
    <row r="27" spans="1:7" s="175" customFormat="1" ht="25.5">
      <c r="A27" s="1300" t="s">
        <v>2043</v>
      </c>
      <c r="B27" s="194" t="s">
        <v>2044</v>
      </c>
      <c r="C27" s="195">
        <f>C28</f>
        <v>165671</v>
      </c>
      <c r="D27" s="185">
        <f>C29</f>
        <v>3.0000000000000001E-3</v>
      </c>
      <c r="E27" s="186" t="s">
        <v>2030</v>
      </c>
      <c r="F27" s="196">
        <f>'数据-取费表'!E28</f>
        <v>0.15</v>
      </c>
      <c r="G27" s="197" t="s">
        <v>2045</v>
      </c>
    </row>
    <row r="28" spans="1:7" s="175" customFormat="1" ht="13.5" customHeight="1">
      <c r="A28" s="176" t="s">
        <v>2034</v>
      </c>
      <c r="B28" s="198" t="s">
        <v>2046</v>
      </c>
      <c r="C28" s="199">
        <f>ROUND((C5+C19+C20)*F27*'数据-取费表'!B22/'数据-取费表'!B21,0)</f>
        <v>165671</v>
      </c>
      <c r="D28" s="185"/>
      <c r="E28" s="186"/>
      <c r="F28" s="196"/>
      <c r="G28" s="197"/>
    </row>
    <row r="29" spans="1:7" s="175" customFormat="1" ht="13.5" customHeight="1">
      <c r="A29" s="176" t="s">
        <v>2008</v>
      </c>
      <c r="B29" s="198" t="s">
        <v>2047</v>
      </c>
      <c r="C29" s="188">
        <f>ROUND(C21*F27*'数据-取费表'!B22/'数据-取费表'!B21,4)</f>
        <v>3.0000000000000001E-3</v>
      </c>
      <c r="D29" s="185"/>
      <c r="E29" s="186"/>
      <c r="F29" s="196"/>
      <c r="G29" s="197"/>
    </row>
    <row r="30" spans="1:7" s="175" customFormat="1" ht="13.5" customHeight="1">
      <c r="A30" s="1300"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1461508</v>
      </c>
      <c r="D31" s="1536"/>
      <c r="E31" s="195"/>
      <c r="F31" s="1537"/>
      <c r="G31" s="184" t="s">
        <v>2052</v>
      </c>
    </row>
    <row r="32" spans="1:7" s="172" customFormat="1" ht="15.75">
      <c r="A32" s="201" t="s">
        <v>2053</v>
      </c>
      <c r="B32" s="202"/>
      <c r="C32" s="1538"/>
      <c r="D32" s="1538"/>
      <c r="E32" s="1538"/>
      <c r="F32" s="1538"/>
      <c r="G32" s="203"/>
    </row>
    <row r="33" spans="1:7" s="175" customFormat="1" ht="13.5" customHeight="1">
      <c r="A33" s="204" t="s">
        <v>2054</v>
      </c>
      <c r="B33" s="173" t="s">
        <v>2055</v>
      </c>
      <c r="C33" s="205">
        <f>SUM(C34:C38)</f>
        <v>888098</v>
      </c>
      <c r="D33" s="183"/>
      <c r="E33" s="1527"/>
      <c r="F33" s="191"/>
      <c r="G33" s="184"/>
    </row>
    <row r="34" spans="1:7" s="206" customFormat="1" ht="13.5" customHeight="1">
      <c r="A34" s="176" t="s">
        <v>2034</v>
      </c>
      <c r="B34" s="177" t="s">
        <v>2056</v>
      </c>
      <c r="C34" s="199">
        <f>IF(B1="仅计算典型户型",'数据-取费表'!F18,'数据-取费表'!E18)</f>
        <v>784770</v>
      </c>
      <c r="D34" s="1528"/>
      <c r="E34" s="199"/>
      <c r="F34" s="1539" t="str">
        <f>IF('数据-取费表'!B25=0,"",'数据-取费表'!E20)</f>
        <v/>
      </c>
      <c r="G34" s="179"/>
    </row>
    <row r="35" spans="1:7" ht="13.5" customHeight="1">
      <c r="A35" s="176" t="s">
        <v>2008</v>
      </c>
      <c r="B35" s="177" t="s">
        <v>2057</v>
      </c>
      <c r="C35" s="199">
        <f>ROUND(C34*F35,0)</f>
        <v>23543</v>
      </c>
      <c r="D35" s="199"/>
      <c r="E35" s="199"/>
      <c r="F35" s="1540">
        <f>'数据-取费表'!E21</f>
        <v>0.03</v>
      </c>
      <c r="G35" s="179" t="s">
        <v>2058</v>
      </c>
    </row>
    <row r="36" spans="1:7" ht="24">
      <c r="A36" s="176" t="s">
        <v>2010</v>
      </c>
      <c r="B36" s="177" t="s">
        <v>2059</v>
      </c>
      <c r="C36" s="199">
        <f>ROUND(IF('数据-取费表'!B10="住宅",C34*F36,0),0)</f>
        <v>15695</v>
      </c>
      <c r="D36" s="199"/>
      <c r="E36" s="199"/>
      <c r="F36" s="1540">
        <f>'数据-取费表'!E22</f>
        <v>0.02</v>
      </c>
      <c r="G36" s="207" t="s">
        <v>2060</v>
      </c>
    </row>
    <row r="37" spans="1:7" s="206" customFormat="1" ht="13.5" customHeight="1">
      <c r="A37" s="176" t="s">
        <v>2041</v>
      </c>
      <c r="B37" s="177" t="s">
        <v>2061</v>
      </c>
      <c r="C37" s="199">
        <f>ROUND(E37*D37,0)</f>
        <v>52318</v>
      </c>
      <c r="D37" s="1528">
        <f>IF(B1="仅计算典型户型",'数据-取费表'!E5,'数据-取费表'!B5)</f>
        <v>261.58999999999997</v>
      </c>
      <c r="E37" s="199">
        <f>'数据-取费表'!E23</f>
        <v>200</v>
      </c>
      <c r="F37" s="1540"/>
      <c r="G37" s="208" t="s">
        <v>2062</v>
      </c>
    </row>
    <row r="38" spans="1:7" ht="13.5" customHeight="1">
      <c r="A38" s="176" t="s">
        <v>2063</v>
      </c>
      <c r="B38" s="177" t="s">
        <v>2064</v>
      </c>
      <c r="C38" s="199">
        <f>ROUND(C34*F38,0)</f>
        <v>11772</v>
      </c>
      <c r="D38" s="199"/>
      <c r="E38" s="199"/>
      <c r="F38" s="1540">
        <f>'数据-取费表'!E24</f>
        <v>1.4999999999999999E-2</v>
      </c>
      <c r="G38" s="179" t="s">
        <v>2058</v>
      </c>
    </row>
    <row r="39" spans="1:7" s="175" customFormat="1" ht="13.5" customHeight="1">
      <c r="A39" s="204" t="s">
        <v>2023</v>
      </c>
      <c r="B39" s="173" t="s">
        <v>2026</v>
      </c>
      <c r="C39" s="183">
        <f>ROUND(C33*F20,0)</f>
        <v>17762</v>
      </c>
      <c r="D39" s="183"/>
      <c r="E39" s="183"/>
      <c r="F39" s="187"/>
      <c r="G39" s="184" t="s">
        <v>2065</v>
      </c>
    </row>
    <row r="40" spans="1:7" s="175" customFormat="1" ht="13.5" customHeight="1">
      <c r="A40" s="204" t="s">
        <v>2025</v>
      </c>
      <c r="B40" s="173" t="s">
        <v>2029</v>
      </c>
      <c r="C40" s="1814">
        <f>F21</f>
        <v>0.02</v>
      </c>
      <c r="D40" s="186" t="s">
        <v>2066</v>
      </c>
      <c r="E40" s="183"/>
      <c r="F40" s="187"/>
      <c r="G40" s="184" t="s">
        <v>2067</v>
      </c>
    </row>
    <row r="41" spans="1:7" s="175" customFormat="1" ht="13.5" customHeight="1">
      <c r="A41" s="204" t="s">
        <v>2028</v>
      </c>
      <c r="B41" s="173" t="s">
        <v>2033</v>
      </c>
      <c r="C41" s="183">
        <f ca="1">ROUND(SUM(C42:C43),0)</f>
        <v>32083</v>
      </c>
      <c r="D41" s="185">
        <f ca="1">C44</f>
        <v>6.9999999999999999E-4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31454</v>
      </c>
      <c r="D42" s="188"/>
      <c r="E42" s="188"/>
      <c r="F42" s="189"/>
      <c r="G42" s="3009" t="s">
        <v>2068</v>
      </c>
    </row>
    <row r="43" spans="1:7" ht="13.5" customHeight="1">
      <c r="A43" s="176" t="s">
        <v>2008</v>
      </c>
      <c r="B43" s="177" t="s">
        <v>2037</v>
      </c>
      <c r="C43" s="188">
        <f ca="1">ROUND(IF('数据-取费表'!B23&lt;=1,C39*F22*'数据-取费表'!B22/2,C39*(POWER((1+F22),'数据-取费表'!B22/2)-1)),0)</f>
        <v>629</v>
      </c>
      <c r="D43" s="188"/>
      <c r="E43" s="188"/>
      <c r="F43" s="189"/>
      <c r="G43" s="3010"/>
    </row>
    <row r="44" spans="1:7" ht="13.5" customHeight="1">
      <c r="A44" s="176" t="s">
        <v>2010</v>
      </c>
      <c r="B44" s="177" t="s">
        <v>2039</v>
      </c>
      <c r="C44" s="188">
        <f ca="1">ROUND(IF('数据-取费表'!B23&lt;=1,C40*F22*'数据-取费表'!B22/2,C40*(POWER((1+F22),'数据-取费表'!B22/2)-1)),4)</f>
        <v>6.9999999999999999E-4</v>
      </c>
      <c r="D44" s="188"/>
      <c r="E44" s="188"/>
      <c r="F44" s="189"/>
      <c r="G44" s="3011"/>
    </row>
    <row r="45" spans="1:7" s="175" customFormat="1" ht="13.5" customHeight="1">
      <c r="A45" s="204" t="s">
        <v>2032</v>
      </c>
      <c r="B45" s="194" t="s">
        <v>2044</v>
      </c>
      <c r="C45" s="195">
        <f>C46</f>
        <v>135879</v>
      </c>
      <c r="D45" s="185">
        <f>C47</f>
        <v>3.0000000000000001E-3</v>
      </c>
      <c r="E45" s="186" t="s">
        <v>2066</v>
      </c>
      <c r="F45" s="196"/>
      <c r="G45" s="197" t="s">
        <v>2069</v>
      </c>
    </row>
    <row r="46" spans="1:7" s="175" customFormat="1" ht="13.5" customHeight="1">
      <c r="A46" s="176" t="s">
        <v>2034</v>
      </c>
      <c r="B46" s="198" t="s">
        <v>2070</v>
      </c>
      <c r="C46" s="199">
        <f>ROUND((C33+C39)*F27,0)</f>
        <v>135879</v>
      </c>
      <c r="D46" s="209"/>
      <c r="E46" s="186"/>
      <c r="F46" s="196"/>
      <c r="G46" s="197"/>
    </row>
    <row r="47" spans="1:7" s="175" customFormat="1" ht="13.5" customHeight="1">
      <c r="A47" s="176" t="s">
        <v>2008</v>
      </c>
      <c r="B47" s="198" t="s">
        <v>2071</v>
      </c>
      <c r="C47" s="188">
        <f>ROUND(C40*F27,4)</f>
        <v>3.0000000000000001E-3</v>
      </c>
      <c r="D47" s="209"/>
      <c r="E47" s="186"/>
      <c r="F47" s="196"/>
      <c r="G47" s="197"/>
    </row>
    <row r="48" spans="1:7" s="175" customFormat="1" ht="13.5" customHeight="1">
      <c r="A48" s="1300" t="s">
        <v>2043</v>
      </c>
      <c r="B48" s="173" t="s">
        <v>2072</v>
      </c>
      <c r="C48" s="1814">
        <f>ROUND(F30/(1+'数据-取费表'!F30),4)</f>
        <v>5.33E-2</v>
      </c>
      <c r="D48" s="186" t="s">
        <v>2066</v>
      </c>
      <c r="E48" s="183"/>
      <c r="F48" s="187"/>
      <c r="G48" s="184" t="s">
        <v>2073</v>
      </c>
    </row>
    <row r="49" spans="1:7" ht="16.5" customHeight="1">
      <c r="A49" s="1300" t="s">
        <v>2074</v>
      </c>
      <c r="B49" s="173" t="s">
        <v>2075</v>
      </c>
      <c r="C49" s="183">
        <f ca="1">ROUND((C33+C39+C41+C45)/(1-C40-D41-D45-C48),0)</f>
        <v>1163404</v>
      </c>
      <c r="D49" s="183"/>
      <c r="E49" s="183"/>
      <c r="F49" s="210"/>
      <c r="G49" s="184" t="s">
        <v>2076</v>
      </c>
    </row>
    <row r="50" spans="1:7" s="206" customFormat="1" ht="24">
      <c r="A50" s="1300" t="s">
        <v>2077</v>
      </c>
      <c r="B50" s="173" t="s">
        <v>2078</v>
      </c>
      <c r="C50" s="183"/>
      <c r="D50" s="183"/>
      <c r="E50" s="183"/>
      <c r="F50" s="210">
        <f>IF('数据-取费表'!B25=0,'数据-取费表'!E20,1)</f>
        <v>0.75</v>
      </c>
      <c r="G50" s="197" t="s">
        <v>2079</v>
      </c>
    </row>
    <row r="51" spans="1:7" ht="16.5" customHeight="1">
      <c r="A51" s="1300" t="s">
        <v>2080</v>
      </c>
      <c r="B51" s="173" t="s">
        <v>2081</v>
      </c>
      <c r="C51" s="183">
        <f ca="1">ROUND(C49*F50,0)</f>
        <v>872553</v>
      </c>
      <c r="D51" s="183"/>
      <c r="E51" s="183"/>
      <c r="F51" s="210"/>
      <c r="G51" s="184" t="s">
        <v>2082</v>
      </c>
    </row>
    <row r="52" spans="1:7" s="172" customFormat="1" ht="16.5" thickBot="1">
      <c r="A52" s="211" t="s">
        <v>2083</v>
      </c>
      <c r="B52" s="212"/>
      <c r="C52" s="213">
        <f ca="1">C31+C51</f>
        <v>2334061</v>
      </c>
      <c r="D52" s="212"/>
      <c r="E52" s="212"/>
      <c r="F52" s="212"/>
      <c r="G52" s="214"/>
    </row>
    <row r="55" spans="1:7" ht="15">
      <c r="B55" s="216" t="s">
        <v>2084</v>
      </c>
      <c r="C55" s="217"/>
    </row>
    <row r="56" spans="1:7">
      <c r="B56" s="219" t="s">
        <v>2085</v>
      </c>
      <c r="C56" s="220">
        <f ca="1">ROUND(C51/C52,3)</f>
        <v>0.374</v>
      </c>
    </row>
    <row r="57" spans="1:7">
      <c r="B57" s="219" t="s">
        <v>2086</v>
      </c>
      <c r="C57" s="221">
        <f ca="1">1-C56</f>
        <v>0.626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6" t="s">
        <v>1295</v>
      </c>
      <c r="D1" s="1447"/>
      <c r="E1" s="1206"/>
      <c r="F1" s="1206"/>
      <c r="G1" s="1206"/>
      <c r="H1" s="1206"/>
      <c r="I1" s="1206"/>
      <c r="J1" s="1206"/>
      <c r="K1" s="1206"/>
    </row>
    <row r="2" spans="1:33" s="223" customFormat="1" ht="18" customHeight="1">
      <c r="A2" s="165" t="s">
        <v>1296</v>
      </c>
      <c r="B2" s="168">
        <f ca="1">IF(C2="元",C32,ROUND(C32/10000,0))</f>
        <v>0</v>
      </c>
      <c r="C2" s="1963" t="str">
        <f>'数据-取费表'!B3</f>
        <v>元</v>
      </c>
      <c r="D2" s="1206"/>
      <c r="E2" s="1206"/>
      <c r="F2" s="1206"/>
      <c r="G2" s="1206"/>
      <c r="H2" s="1206"/>
      <c r="I2" s="1206"/>
      <c r="J2" s="1206"/>
      <c r="K2" s="1206"/>
    </row>
    <row r="3" spans="1:33" s="223" customFormat="1" ht="18" customHeight="1" thickBot="1">
      <c r="A3" s="167" t="s">
        <v>1297</v>
      </c>
      <c r="B3" s="168" t="e">
        <f ca="1">ROUND(C32/IF(C1="仅计算典型户型",'数据-取费表'!E5,'数据-取费表'!B5),0)</f>
        <v>#DIV/0!</v>
      </c>
      <c r="C3" s="1963" t="s">
        <v>1298</v>
      </c>
      <c r="D3" s="1206"/>
      <c r="E3" s="1206"/>
      <c r="F3" s="1206"/>
      <c r="G3" s="1206"/>
      <c r="H3" s="1206"/>
      <c r="I3" s="1206"/>
      <c r="J3" s="1206"/>
      <c r="K3" s="1206"/>
    </row>
    <row r="4" spans="1:33" s="227" customFormat="1" ht="16.5" customHeight="1">
      <c r="A4" s="224" t="s">
        <v>1299</v>
      </c>
      <c r="B4" s="225"/>
      <c r="C4" s="1446">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1302</v>
      </c>
      <c r="B6" s="231" t="s">
        <v>1303</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1304</v>
      </c>
      <c r="B7" s="231" t="s">
        <v>1305</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1306</v>
      </c>
      <c r="B8" s="231" t="s">
        <v>1307</v>
      </c>
      <c r="C8" s="727">
        <f>C6*C7</f>
        <v>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1313</v>
      </c>
      <c r="C11" s="247">
        <f>IF(C1="仅计算典型户型",'数据-取费表'!F18,'数据-取费表'!E18)</f>
        <v>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1314</v>
      </c>
      <c r="C12" s="14">
        <f>ROUND(C11*F12,0)</f>
        <v>0</v>
      </c>
      <c r="D12" s="248"/>
      <c r="E12" s="70"/>
      <c r="F12" s="251">
        <f>'数据-取费表'!E21</f>
        <v>0.03</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1316</v>
      </c>
      <c r="C13" s="14">
        <f>ROUND(IF('数据-取费表'!B10="住宅",C11*F13,0),0)</f>
        <v>0</v>
      </c>
      <c r="D13" s="248"/>
      <c r="E13" s="70"/>
      <c r="F13" s="251">
        <f>'数据-取费表'!E22</f>
        <v>0.02</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1320</v>
      </c>
      <c r="C15" s="259">
        <f>ROUND(C11*F15,0)</f>
        <v>0</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1322</v>
      </c>
      <c r="B16" s="246" t="s">
        <v>1323</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1302</v>
      </c>
      <c r="B21" s="261" t="s">
        <v>1332</v>
      </c>
      <c r="C21" s="262">
        <f>C16+C17+C18</f>
        <v>0</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1"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1"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1"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2"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1"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2" t="s">
        <v>1350</v>
      </c>
      <c r="B29" s="286" t="s">
        <v>1351</v>
      </c>
      <c r="C29" s="277">
        <f>ROUND((1+C24)*F28,4)</f>
        <v>0.15440000000000001</v>
      </c>
      <c r="D29" s="277"/>
      <c r="E29" s="278"/>
      <c r="F29" s="287"/>
      <c r="G29" s="231" t="s">
        <v>1352</v>
      </c>
      <c r="H29" s="254"/>
      <c r="I29" s="254"/>
      <c r="J29" s="254"/>
      <c r="K29" s="255"/>
    </row>
    <row r="30" spans="1:33" s="288" customFormat="1" ht="13.5" customHeight="1">
      <c r="A30" s="1302" t="s">
        <v>1353</v>
      </c>
      <c r="B30" s="286" t="s">
        <v>1354</v>
      </c>
      <c r="C30" s="289">
        <f>ROUND((C21+C22+C23)*F28,0)</f>
        <v>0</v>
      </c>
      <c r="D30" s="277"/>
      <c r="E30" s="290"/>
      <c r="F30" s="287"/>
      <c r="G30" s="231"/>
      <c r="H30" s="254"/>
      <c r="I30" s="254"/>
      <c r="J30" s="254"/>
      <c r="K30" s="255"/>
    </row>
    <row r="31" spans="1:33" s="266" customFormat="1" ht="13.5" customHeight="1" thickBot="1">
      <c r="A31" s="1965"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G25" sqref="G25"/>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1760</v>
      </c>
      <c r="B1" s="2186"/>
      <c r="C1" s="2186"/>
      <c r="D1" s="2186"/>
      <c r="E1" s="2186"/>
      <c r="F1" s="2186"/>
      <c r="G1" s="2186"/>
      <c r="H1" s="2186"/>
      <c r="I1" s="2186"/>
    </row>
    <row r="2" spans="1:12" ht="21.75" customHeight="1">
      <c r="A2" s="3013" t="str">
        <f>项目基本情况!B1</f>
        <v>北京市房地产抵押价值预评估</v>
      </c>
      <c r="B2" s="3013"/>
      <c r="C2" s="3013"/>
      <c r="D2" s="3013"/>
      <c r="E2" s="3013"/>
      <c r="F2" s="3013"/>
      <c r="G2" s="3013"/>
      <c r="H2" s="3013"/>
      <c r="I2" s="3013"/>
    </row>
    <row r="3" spans="1:12" ht="12.75">
      <c r="A3" s="2894" t="s">
        <v>1761</v>
      </c>
      <c r="B3" s="2895"/>
      <c r="C3" s="2895"/>
      <c r="D3" s="2895"/>
      <c r="E3" s="2895"/>
      <c r="F3" s="2895"/>
      <c r="G3" s="2895"/>
      <c r="H3" s="2895"/>
      <c r="I3" s="2895"/>
    </row>
    <row r="4" spans="1:12" ht="14.25">
      <c r="A4" s="2188" t="s">
        <v>1762</v>
      </c>
      <c r="B4" s="2189" t="s">
        <v>1763</v>
      </c>
      <c r="C4" s="2190" t="s">
        <v>2902</v>
      </c>
      <c r="D4" s="2190" t="s">
        <v>2981</v>
      </c>
      <c r="E4" s="2896" t="s">
        <v>1764</v>
      </c>
      <c r="F4" s="2897"/>
      <c r="G4" s="2897"/>
      <c r="H4" s="2897"/>
      <c r="I4" s="2898"/>
      <c r="K4" s="1840" t="str">
        <f>IF(ISNUMBER(FIND("比较法",结果表!C4)),"比较法",IF(ISNUMBER(FIND("成本法",结果表!C4)),"成本法",IF(ISNUMBER(FIND("假设开发法",结果表!C4)),"假设开发法",IF(ISNUMBER(FIND("收益法",结果表!C4)),"收益法","基准地价系数修正法"))))</f>
        <v>收益法</v>
      </c>
      <c r="L4" s="1840" t="str">
        <f>IF(ISNUMBER(FIND("比较法",结果表!D4)),"比较法",IF(ISNUMBER(FIND("成本法",结果表!D4)),"成本法",IF(ISNUMBER(FIND("假设开发法",结果表!D4)),"假设开发法",IF(ISNUMBER(FIND("收益法",结果表!D4)),"收益法","基准地价系数修正法"))))</f>
        <v>比较法</v>
      </c>
    </row>
    <row r="5" spans="1:12" ht="12.75">
      <c r="A5" s="2874" t="s">
        <v>1765</v>
      </c>
      <c r="B5" s="2875">
        <v>25</v>
      </c>
      <c r="C5" s="2876"/>
      <c r="D5" s="2878"/>
      <c r="E5" s="56" t="s">
        <v>1766</v>
      </c>
      <c r="F5" s="2191"/>
      <c r="G5" s="2191"/>
      <c r="H5" s="2191"/>
      <c r="I5" s="2192"/>
    </row>
    <row r="6" spans="1:12" ht="12.75">
      <c r="A6" s="2874"/>
      <c r="B6" s="2875"/>
      <c r="C6" s="2899"/>
      <c r="D6" s="2878"/>
      <c r="E6" s="56" t="s">
        <v>1767</v>
      </c>
      <c r="F6" s="2191"/>
      <c r="G6" s="2191"/>
      <c r="H6" s="2191"/>
      <c r="I6" s="2192"/>
    </row>
    <row r="7" spans="1:12" ht="12.75">
      <c r="A7" s="2874"/>
      <c r="B7" s="2875"/>
      <c r="C7" s="2877"/>
      <c r="D7" s="2878"/>
      <c r="E7" s="56" t="s">
        <v>1768</v>
      </c>
      <c r="F7" s="2191"/>
      <c r="G7" s="2191"/>
      <c r="H7" s="2191"/>
      <c r="I7" s="2192"/>
    </row>
    <row r="8" spans="1:12" ht="12.75">
      <c r="A8" s="2874" t="s">
        <v>1769</v>
      </c>
      <c r="B8" s="2875">
        <v>15</v>
      </c>
      <c r="C8" s="2876"/>
      <c r="D8" s="2878"/>
      <c r="E8" s="56" t="s">
        <v>1770</v>
      </c>
      <c r="F8" s="2191"/>
      <c r="G8" s="2191"/>
      <c r="H8" s="2191"/>
      <c r="I8" s="2192"/>
    </row>
    <row r="9" spans="1:12" ht="12.75">
      <c r="A9" s="2874"/>
      <c r="B9" s="2875"/>
      <c r="C9" s="2877"/>
      <c r="D9" s="2878"/>
      <c r="E9" s="56" t="s">
        <v>1771</v>
      </c>
      <c r="F9" s="2191"/>
      <c r="G9" s="2191"/>
      <c r="H9" s="2191"/>
      <c r="I9" s="2192"/>
    </row>
    <row r="10" spans="1:12" ht="12.75">
      <c r="A10" s="2874" t="s">
        <v>1772</v>
      </c>
      <c r="B10" s="2875">
        <v>15</v>
      </c>
      <c r="C10" s="2876"/>
      <c r="D10" s="2878"/>
      <c r="E10" s="56" t="s">
        <v>1773</v>
      </c>
      <c r="F10" s="2191"/>
      <c r="G10" s="2191"/>
      <c r="H10" s="2191"/>
      <c r="I10" s="2192"/>
    </row>
    <row r="11" spans="1:12" ht="12.75">
      <c r="A11" s="2874"/>
      <c r="B11" s="2875"/>
      <c r="C11" s="2877"/>
      <c r="D11" s="2878"/>
      <c r="E11" s="56" t="s">
        <v>1774</v>
      </c>
      <c r="F11" s="2191"/>
      <c r="G11" s="2191"/>
      <c r="H11" s="2191"/>
      <c r="I11" s="2192"/>
    </row>
    <row r="12" spans="1:12" ht="12.75">
      <c r="A12" s="2874" t="s">
        <v>1775</v>
      </c>
      <c r="B12" s="2875">
        <v>15</v>
      </c>
      <c r="C12" s="2876"/>
      <c r="D12" s="2878"/>
      <c r="E12" s="56" t="s">
        <v>1776</v>
      </c>
      <c r="F12" s="2191"/>
      <c r="G12" s="2191"/>
      <c r="H12" s="2191"/>
      <c r="I12" s="2192"/>
    </row>
    <row r="13" spans="1:12" ht="12.75">
      <c r="A13" s="2874"/>
      <c r="B13" s="2875"/>
      <c r="C13" s="2877"/>
      <c r="D13" s="2878"/>
      <c r="E13" s="56" t="s">
        <v>1777</v>
      </c>
      <c r="F13" s="2191"/>
      <c r="G13" s="2191"/>
      <c r="H13" s="2191"/>
      <c r="I13" s="2192"/>
    </row>
    <row r="14" spans="1:12" ht="12.75">
      <c r="A14" s="2874" t="s">
        <v>1778</v>
      </c>
      <c r="B14" s="2875">
        <v>30</v>
      </c>
      <c r="C14" s="2876">
        <v>2</v>
      </c>
      <c r="D14" s="2878">
        <v>8</v>
      </c>
      <c r="E14" s="56" t="s">
        <v>1779</v>
      </c>
      <c r="F14" s="2191"/>
      <c r="G14" s="2191"/>
      <c r="H14" s="2191"/>
      <c r="I14" s="2192"/>
    </row>
    <row r="15" spans="1:12" ht="12.75">
      <c r="A15" s="2874"/>
      <c r="B15" s="2875"/>
      <c r="C15" s="2899"/>
      <c r="D15" s="2878"/>
      <c r="E15" s="56" t="s">
        <v>1780</v>
      </c>
      <c r="F15" s="2191"/>
      <c r="G15" s="2191"/>
      <c r="H15" s="2191"/>
      <c r="I15" s="2192"/>
    </row>
    <row r="16" spans="1:12" ht="12.75">
      <c r="A16" s="2874"/>
      <c r="B16" s="2875"/>
      <c r="C16" s="2877"/>
      <c r="D16" s="2878"/>
      <c r="E16" s="56" t="s">
        <v>1781</v>
      </c>
      <c r="F16" s="2191"/>
      <c r="G16" s="2191"/>
      <c r="H16" s="2191"/>
      <c r="I16" s="2192"/>
    </row>
    <row r="17" spans="1:35" ht="15">
      <c r="A17" s="2193" t="s">
        <v>1782</v>
      </c>
      <c r="B17" s="2194"/>
      <c r="C17" s="57">
        <f>SUM(C5:C16)</f>
        <v>2</v>
      </c>
      <c r="D17" s="57">
        <f>SUM(D5:D16)</f>
        <v>8</v>
      </c>
      <c r="E17" s="2186"/>
      <c r="F17" s="2186"/>
      <c r="G17" s="2186"/>
      <c r="H17" s="2186"/>
      <c r="I17" s="2186"/>
    </row>
    <row r="18" spans="1:35" ht="15.75" thickBot="1">
      <c r="A18" s="2195" t="s">
        <v>1783</v>
      </c>
      <c r="B18" s="2196"/>
      <c r="C18" s="58">
        <f>ROUND(C17/SUM(C17:D17),2)</f>
        <v>0.2</v>
      </c>
      <c r="D18" s="58">
        <f>1-C18</f>
        <v>0.8</v>
      </c>
      <c r="E18" s="2186"/>
      <c r="F18" s="2186"/>
      <c r="G18" s="2186"/>
      <c r="H18" s="2186"/>
      <c r="I18" s="2186"/>
    </row>
    <row r="19" spans="1:35" ht="15">
      <c r="A19" s="2197" t="s">
        <v>1784</v>
      </c>
      <c r="B19" s="2198" t="s">
        <v>1785</v>
      </c>
      <c r="C19" s="59">
        <f ca="1">SUMIF(INDIRECT("'"&amp;C4&amp;"'"&amp;"!A:A"),结果表!B19,INDIRECT("'"&amp;C4&amp;"'"&amp;"!B:B"))</f>
        <v>11070498</v>
      </c>
      <c r="D19" s="60">
        <f ca="1">SUMIF(INDIRECT("'"&amp;D4&amp;"'"&amp;"!A:A"),结果表!B19,INDIRECT("'"&amp;D4&amp;"'"&amp;"!B:B"))</f>
        <v>36283318</v>
      </c>
      <c r="E19" s="2197" t="s">
        <v>1786</v>
      </c>
      <c r="F19" s="2198" t="s">
        <v>1785</v>
      </c>
      <c r="G19" s="61">
        <f ca="1">ROUND(C19*$C$18+D19*$D$18,0)</f>
        <v>31240754</v>
      </c>
      <c r="H19" s="2199" t="str">
        <f>'数据-取费表'!B3</f>
        <v>元</v>
      </c>
      <c r="I19" s="2186"/>
    </row>
    <row r="20" spans="1:35" ht="15">
      <c r="A20" s="2200"/>
      <c r="B20" s="2201" t="s">
        <v>1787</v>
      </c>
      <c r="C20" s="62">
        <f ca="1">SUMIF(INDIRECT("'"&amp;C4&amp;"'"&amp;"!A:A"),结果表!B20,INDIRECT("'"&amp;C4&amp;"'"&amp;"!B:B"))</f>
        <v>42320</v>
      </c>
      <c r="D20" s="63">
        <f ca="1">SUMIF(INDIRECT("'"&amp;D4&amp;"'"&amp;"!A:A"),结果表!B20,INDIRECT("'"&amp;D4&amp;"'"&amp;"!B:B"))</f>
        <v>138703</v>
      </c>
      <c r="E20" s="2200"/>
      <c r="F20" s="2201" t="s">
        <v>1787</v>
      </c>
      <c r="G20" s="64">
        <f ca="1">ROUND(C20*$C$18+D20*$D$18,0)</f>
        <v>119426</v>
      </c>
      <c r="H20" s="2202" t="s">
        <v>1788</v>
      </c>
      <c r="I20" s="2186"/>
      <c r="J20" s="2778">
        <v>119283</v>
      </c>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2.2774783934742593</v>
      </c>
      <c r="E22" s="2186"/>
      <c r="F22" s="2186"/>
      <c r="G22" s="2186"/>
      <c r="H22" s="2186"/>
      <c r="I22" s="2186"/>
    </row>
    <row r="23" spans="1:35" ht="13.5" thickBot="1">
      <c r="A23" s="2186"/>
      <c r="B23" s="2186"/>
      <c r="C23" s="2186"/>
      <c r="D23" s="2186"/>
      <c r="E23" s="2186"/>
      <c r="F23" s="2186"/>
      <c r="G23" s="2186"/>
      <c r="H23" s="2186"/>
      <c r="I23" s="2186"/>
    </row>
    <row r="24" spans="1:35" ht="21.75" customHeight="1">
      <c r="A24" s="2900" t="s">
        <v>1790</v>
      </c>
      <c r="B24" s="2198" t="s">
        <v>1785</v>
      </c>
      <c r="C24" s="61">
        <f>D30</f>
        <v>0</v>
      </c>
      <c r="D24" s="989"/>
      <c r="E24" s="2186"/>
      <c r="F24" s="2186"/>
      <c r="G24" s="2186"/>
      <c r="H24" s="2186"/>
      <c r="I24" s="2186"/>
    </row>
    <row r="25" spans="1:35" ht="21.75" customHeight="1">
      <c r="A25" s="2901"/>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1795</v>
      </c>
      <c r="B30" s="67"/>
      <c r="C30" s="67"/>
      <c r="D30" s="67"/>
      <c r="E30" s="2694" t="s">
        <v>2794</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4" t="s">
        <v>1796</v>
      </c>
      <c r="B32" s="2215" t="str">
        <f>'数据-取费表'!B4</f>
        <v>楼面单价</v>
      </c>
      <c r="C32" s="1140">
        <f ca="1">IF(B32="总价",G19-C24,G20-C25)</f>
        <v>119426</v>
      </c>
      <c r="D32" s="2186" t="str">
        <f>IF(B32="楼面单价","元/平方米",H19)</f>
        <v>元/平方米</v>
      </c>
      <c r="E32" s="2186"/>
      <c r="F32" s="2186"/>
      <c r="G32" s="2186"/>
      <c r="H32" s="2186"/>
      <c r="I32" s="2186"/>
    </row>
    <row r="33" spans="1:16" ht="15">
      <c r="A33" s="2216" t="s">
        <v>1797</v>
      </c>
      <c r="B33" s="2217"/>
      <c r="C33" s="2218"/>
      <c r="D33" s="2219"/>
      <c r="E33" s="2220" t="s">
        <v>1798</v>
      </c>
      <c r="F33" s="2221" t="str">
        <f>IF(B32="楼面单价","取值（单价）","取值（总价）")</f>
        <v>取值（单价）</v>
      </c>
      <c r="G33" s="2186"/>
      <c r="H33" s="2186"/>
      <c r="I33" s="2186"/>
    </row>
    <row r="34" spans="1:16" ht="15">
      <c r="A34" s="2222"/>
      <c r="B34" s="2223" t="s">
        <v>1799</v>
      </c>
      <c r="C34" s="72">
        <f ca="1">IF(D33="自定义",F34,C32-C35)</f>
        <v>109991</v>
      </c>
      <c r="D34" s="1086">
        <f ca="1">IF(D33="自定义",ROUND(C34/C32,3),1-D35)</f>
        <v>0.92100000000000004</v>
      </c>
      <c r="E34" s="2224" t="s">
        <v>1800</v>
      </c>
      <c r="F34" s="1823">
        <v>2000</v>
      </c>
      <c r="G34" s="2186"/>
      <c r="H34" s="2186"/>
      <c r="I34" s="2186"/>
    </row>
    <row r="35" spans="1:16" ht="15.75" thickBot="1">
      <c r="A35" s="2225"/>
      <c r="B35" s="2226" t="s">
        <v>1801</v>
      </c>
      <c r="C35" s="73">
        <f ca="1">IF(D33="自定义",F35,ROUND(C32*D35,0))</f>
        <v>9435</v>
      </c>
      <c r="D35" s="1085">
        <f ca="1">IF(D33="自定义",ROUND(C35/C32,3),IF(D33="成本法成本比率",成本法!C56,IF(D33="收益法收益比率",收益法!J38,收益法!J41)))</f>
        <v>7.9000000000000001E-2</v>
      </c>
      <c r="E35" s="2227" t="s">
        <v>1802</v>
      </c>
      <c r="F35" s="79">
        <v>4460</v>
      </c>
      <c r="G35" s="2186"/>
      <c r="H35" s="2186"/>
      <c r="I35" s="2186"/>
    </row>
    <row r="36" spans="1:16" ht="15.75" thickBot="1">
      <c r="A36" s="2902" t="s">
        <v>1803</v>
      </c>
      <c r="B36" s="2228" t="s">
        <v>1804</v>
      </c>
      <c r="C36" s="69">
        <v>0</v>
      </c>
      <c r="D36" s="2229"/>
      <c r="E36" s="2230"/>
      <c r="F36" s="2230"/>
      <c r="G36" s="2186"/>
      <c r="H36" s="2186"/>
      <c r="I36" s="2186"/>
    </row>
    <row r="37" spans="1:16" ht="15.75" thickBot="1">
      <c r="A37" s="2903"/>
      <c r="B37" s="2231" t="s">
        <v>1805</v>
      </c>
      <c r="C37" s="71">
        <v>0</v>
      </c>
      <c r="D37" s="2196"/>
      <c r="E37" s="2196"/>
      <c r="F37" s="2230"/>
      <c r="G37" s="2196"/>
      <c r="H37" s="2196"/>
      <c r="I37" s="2196"/>
    </row>
    <row r="38" spans="1:16" ht="15.75" thickBot="1">
      <c r="A38" s="2904"/>
      <c r="B38" s="2232" t="s">
        <v>1806</v>
      </c>
      <c r="C38" s="711">
        <v>0</v>
      </c>
      <c r="D38" s="2233" t="s">
        <v>1807</v>
      </c>
      <c r="E38" s="2196"/>
      <c r="F38" s="2230"/>
      <c r="G38" s="2196"/>
      <c r="H38" s="2196"/>
      <c r="I38" s="2196"/>
    </row>
    <row r="39" spans="1:16" ht="15">
      <c r="A39" s="2200" t="s">
        <v>1808</v>
      </c>
      <c r="B39" s="2234" t="s">
        <v>1792</v>
      </c>
      <c r="C39" s="2235" t="s">
        <v>1793</v>
      </c>
      <c r="D39" s="2235" t="s">
        <v>1809</v>
      </c>
      <c r="E39" s="2236" t="s">
        <v>1794</v>
      </c>
      <c r="F39" s="2230"/>
      <c r="G39" s="2196"/>
      <c r="H39" s="2196"/>
      <c r="I39" s="2196"/>
    </row>
    <row r="40" spans="1:16" ht="14.25">
      <c r="A40" s="2237" t="s">
        <v>1810</v>
      </c>
      <c r="B40" s="74"/>
      <c r="C40" s="75"/>
      <c r="D40" s="75"/>
      <c r="E40" s="76"/>
      <c r="F40" s="2230"/>
      <c r="G40" s="2196"/>
      <c r="H40" s="2196"/>
      <c r="I40" s="2196"/>
    </row>
    <row r="41" spans="1:16" ht="14.25">
      <c r="A41" s="2237" t="s">
        <v>1811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1812</v>
      </c>
      <c r="B44" s="2243"/>
      <c r="C44" s="2243"/>
      <c r="D44" s="2244"/>
      <c r="E44" s="2244"/>
      <c r="F44" s="2245"/>
      <c r="G44" s="2245"/>
      <c r="H44" s="2245"/>
      <c r="I44" s="2245"/>
      <c r="J44" s="2246" t="s">
        <v>1813</v>
      </c>
      <c r="K44" s="2247"/>
      <c r="L44" s="2247"/>
      <c r="M44" s="2247"/>
      <c r="N44" s="2247"/>
      <c r="O44" s="2247"/>
      <c r="P44" s="1840"/>
    </row>
    <row r="45" spans="1:16" ht="14.25" customHeight="1" thickBot="1">
      <c r="A45" s="2879" t="s">
        <v>1814</v>
      </c>
      <c r="B45" s="2880"/>
      <c r="C45" s="2881"/>
      <c r="D45" s="80">
        <f ca="1">ROUND(I102*F45,0)</f>
        <v>31240647</v>
      </c>
      <c r="E45" s="81" t="s">
        <v>1815</v>
      </c>
      <c r="F45" s="82">
        <v>1</v>
      </c>
      <c r="G45" s="83" t="s">
        <v>1816</v>
      </c>
      <c r="H45" s="2186"/>
      <c r="I45" s="2186"/>
      <c r="J45" s="2882" t="s">
        <v>1817</v>
      </c>
      <c r="K45" s="2882"/>
      <c r="L45" s="2882"/>
      <c r="M45" s="2882"/>
      <c r="N45" s="2882"/>
      <c r="O45" s="2882"/>
      <c r="P45" s="1840"/>
    </row>
    <row r="46" spans="1:16" ht="14.25" customHeight="1">
      <c r="A46" s="2883" t="s">
        <v>1818</v>
      </c>
      <c r="B46" s="2884"/>
      <c r="C46" s="2884"/>
      <c r="D46" s="2884"/>
      <c r="E46" s="2884"/>
      <c r="F46" s="2884"/>
      <c r="G46" s="2885"/>
      <c r="H46" s="2248"/>
      <c r="I46" s="1139"/>
      <c r="J46" s="1877">
        <v>1</v>
      </c>
      <c r="K46" s="2882" t="s">
        <v>1819</v>
      </c>
      <c r="L46" s="2882"/>
      <c r="M46" s="2905" t="str">
        <f>项目基本情况!B1</f>
        <v>北京市房地产抵押价值预评估</v>
      </c>
      <c r="N46" s="2905"/>
      <c r="O46" s="2905"/>
      <c r="P46" s="1840"/>
    </row>
    <row r="47" spans="1:16" ht="12" customHeight="1">
      <c r="A47" s="85" t="s">
        <v>1820</v>
      </c>
      <c r="B47" s="86"/>
      <c r="C47" s="87"/>
      <c r="D47" s="88" t="s">
        <v>1821</v>
      </c>
      <c r="E47" s="14" t="s">
        <v>1822</v>
      </c>
      <c r="F47" s="89" t="s">
        <v>1823</v>
      </c>
      <c r="G47" s="90" t="s">
        <v>1824</v>
      </c>
      <c r="H47" s="2248"/>
      <c r="I47" s="1139"/>
      <c r="J47" s="1877">
        <v>2</v>
      </c>
      <c r="K47" s="2882" t="s">
        <v>1825</v>
      </c>
      <c r="L47" s="2882"/>
      <c r="M47" s="2890">
        <f>'数据-取费表'!B2</f>
        <v>43888</v>
      </c>
      <c r="N47" s="2890"/>
      <c r="O47" s="2890"/>
      <c r="P47" s="1840"/>
    </row>
    <row r="48" spans="1:16" ht="25.5">
      <c r="A48" s="2891" t="s">
        <v>1826</v>
      </c>
      <c r="B48" s="2892"/>
      <c r="C48" s="2892"/>
      <c r="D48" s="56">
        <f ca="1">IF(H48="情况1",0,IF(H48="情况2",D52,IF(H48="情况3",D53,IF(H48="情况4",D54))))</f>
        <v>1666168</v>
      </c>
      <c r="E48" s="1887" t="str">
        <f>IF(H48="情况4","(销售额-原购置价)×税（费）率","销售额×税（费）率")</f>
        <v>销售额×税（费）率</v>
      </c>
      <c r="F48" s="91">
        <f>IF(H48="情况1","免征",'数据-取费表'!E29)</f>
        <v>5.6000000000000001E-2</v>
      </c>
      <c r="G48" s="2249" t="s">
        <v>1827</v>
      </c>
      <c r="H48" s="2250" t="s">
        <v>1828</v>
      </c>
      <c r="I48" s="2248"/>
      <c r="J48" s="1877">
        <v>3</v>
      </c>
      <c r="K48" s="2882" t="s">
        <v>1829</v>
      </c>
      <c r="L48" s="2882"/>
      <c r="M48" s="2905">
        <f ca="1">I102</f>
        <v>31240647</v>
      </c>
      <c r="N48" s="2905"/>
      <c r="O48" s="2905"/>
      <c r="P48" s="1840"/>
    </row>
    <row r="49" spans="1:16" ht="25.5" customHeight="1">
      <c r="A49" s="92" t="s">
        <v>1830</v>
      </c>
      <c r="B49" s="2887" t="s">
        <v>1831</v>
      </c>
      <c r="C49" s="2887"/>
      <c r="D49" s="93">
        <v>0</v>
      </c>
      <c r="E49" s="13" t="s">
        <v>1832</v>
      </c>
      <c r="F49" s="18" t="s">
        <v>48</v>
      </c>
      <c r="G49" s="2906"/>
      <c r="H49" s="2186"/>
      <c r="I49" s="2251"/>
      <c r="J49" s="1877">
        <v>4</v>
      </c>
      <c r="K49" s="2882" t="str">
        <f>IF(项目基本情况!F5="房地产抵押价值","房地产抵押价值","抵押担保权已注销时的房地产抵押价值")</f>
        <v>房地产抵押价值</v>
      </c>
      <c r="L49" s="2882"/>
      <c r="M49" s="2905">
        <f ca="1">IF(项目基本情况!F5="房地产抵押价值",I110,I112)</f>
        <v>31240647</v>
      </c>
      <c r="N49" s="2905"/>
      <c r="O49" s="2905"/>
      <c r="P49" s="1840"/>
    </row>
    <row r="50" spans="1:16" ht="25.5" customHeight="1">
      <c r="A50" s="94"/>
      <c r="B50" s="2887" t="s">
        <v>1833</v>
      </c>
      <c r="C50" s="2887"/>
      <c r="D50" s="95"/>
      <c r="E50" s="21"/>
      <c r="F50" s="96"/>
      <c r="G50" s="2907"/>
      <c r="H50" s="2186"/>
      <c r="I50" s="2251"/>
      <c r="J50" s="2882" t="s">
        <v>1834</v>
      </c>
      <c r="K50" s="2882"/>
      <c r="L50" s="2882"/>
      <c r="M50" s="2882"/>
      <c r="N50" s="2882"/>
      <c r="O50" s="2882"/>
      <c r="P50" s="1840"/>
    </row>
    <row r="51" spans="1:16" ht="12" customHeight="1">
      <c r="A51" s="97"/>
      <c r="B51" s="2887" t="s">
        <v>1835</v>
      </c>
      <c r="C51" s="2887"/>
      <c r="D51" s="98"/>
      <c r="E51" s="20"/>
      <c r="F51" s="96"/>
      <c r="G51" s="2908"/>
      <c r="H51" s="2186"/>
      <c r="I51" s="2251"/>
      <c r="J51" s="2252" t="s">
        <v>1836</v>
      </c>
      <c r="K51" s="2882" t="s">
        <v>1837</v>
      </c>
      <c r="L51" s="2882"/>
      <c r="M51" s="2252" t="s">
        <v>1838</v>
      </c>
      <c r="N51" s="2252" t="s">
        <v>1839</v>
      </c>
      <c r="O51" s="2252" t="s">
        <v>1840</v>
      </c>
      <c r="P51" s="1840"/>
    </row>
    <row r="52" spans="1:16" ht="24" customHeight="1">
      <c r="A52" s="99" t="s">
        <v>1841</v>
      </c>
      <c r="B52" s="2887" t="s">
        <v>1842</v>
      </c>
      <c r="C52" s="2887"/>
      <c r="D52" s="98">
        <f ca="1">ROUND(D45*'数据-取费表'!E29/(1+'数据-取费表'!F30),0)</f>
        <v>1666168</v>
      </c>
      <c r="E52" s="10" t="s">
        <v>1843</v>
      </c>
      <c r="F52" s="100">
        <f>'数据-取费表'!E29</f>
        <v>5.6000000000000001E-2</v>
      </c>
      <c r="G52" s="2253"/>
      <c r="H52" s="2186"/>
      <c r="I52" s="2251"/>
      <c r="J52" s="1877">
        <v>1</v>
      </c>
      <c r="K52" s="2888" t="s">
        <v>1844</v>
      </c>
      <c r="L52" s="2888"/>
      <c r="M52" s="777">
        <f ca="1">D48</f>
        <v>1666168</v>
      </c>
      <c r="N52" s="1877" t="str">
        <f>E48</f>
        <v>销售额×税（费）率</v>
      </c>
      <c r="O52" s="778">
        <f>F48</f>
        <v>5.6000000000000001E-2</v>
      </c>
      <c r="P52" s="1840"/>
    </row>
    <row r="53" spans="1:16" ht="12" customHeight="1">
      <c r="A53" s="99" t="s">
        <v>1845</v>
      </c>
      <c r="B53" s="2889" t="s">
        <v>1846</v>
      </c>
      <c r="C53" s="2845"/>
      <c r="D53" s="98">
        <f ca="1">ROUND(D45*'数据-取费表'!E29/(1+'数据-取费表'!F30),0)</f>
        <v>1666168</v>
      </c>
      <c r="E53" s="10" t="s">
        <v>1843</v>
      </c>
      <c r="F53" s="100">
        <f>'数据-取费表'!E29</f>
        <v>5.6000000000000001E-2</v>
      </c>
      <c r="G53" s="2253"/>
      <c r="H53" s="2186"/>
      <c r="I53" s="2251"/>
      <c r="J53" s="1877">
        <v>2</v>
      </c>
      <c r="K53" s="2888" t="s">
        <v>1847</v>
      </c>
      <c r="L53" s="2888"/>
      <c r="M53" s="777">
        <f t="shared" ref="M53:O54" ca="1" si="1">D55</f>
        <v>15620</v>
      </c>
      <c r="N53" s="1877" t="str">
        <f t="shared" si="1"/>
        <v>销售额×税（费）率</v>
      </c>
      <c r="O53" s="778">
        <f t="shared" si="1"/>
        <v>5.0000000000000001E-4</v>
      </c>
      <c r="P53" s="1840"/>
    </row>
    <row r="54" spans="1:16" ht="12" customHeight="1">
      <c r="A54" s="99" t="s">
        <v>1848</v>
      </c>
      <c r="B54" s="2889" t="s">
        <v>1849</v>
      </c>
      <c r="C54" s="2845"/>
      <c r="D54" s="98">
        <f ca="1">C68</f>
        <v>1666168</v>
      </c>
      <c r="E54" s="20" t="s">
        <v>1850</v>
      </c>
      <c r="F54" s="100">
        <f>'数据-取费表'!E29</f>
        <v>5.6000000000000001E-2</v>
      </c>
      <c r="G54" s="2253"/>
      <c r="H54" s="2254"/>
      <c r="I54" s="2251"/>
      <c r="J54" s="1877">
        <v>3</v>
      </c>
      <c r="K54" s="2888" t="s">
        <v>1851</v>
      </c>
      <c r="L54" s="2888"/>
      <c r="M54" s="777">
        <f t="shared" ca="1" si="1"/>
        <v>17682206</v>
      </c>
      <c r="N54" s="1877" t="str">
        <f t="shared" si="1"/>
        <v>增值额×税（费）率</v>
      </c>
      <c r="O54" s="779" t="str">
        <f t="shared" si="1"/>
        <v>——</v>
      </c>
      <c r="P54" s="1840"/>
    </row>
    <row r="55" spans="1:16" ht="24" customHeight="1">
      <c r="A55" s="2837" t="s">
        <v>1852</v>
      </c>
      <c r="B55" s="2892"/>
      <c r="C55" s="2892"/>
      <c r="D55" s="101">
        <f ca="1">IF(H55="个人住宅",0,ROUND(D45*I55,0))</f>
        <v>15620</v>
      </c>
      <c r="E55" s="10" t="s">
        <v>1853</v>
      </c>
      <c r="F55" s="100">
        <f>IF(H55="正常",I55,"免征")</f>
        <v>5.0000000000000001E-4</v>
      </c>
      <c r="G55" s="2253"/>
      <c r="H55" s="2250" t="s">
        <v>1854</v>
      </c>
      <c r="I55" s="102">
        <f>'数据-取费表'!E37</f>
        <v>5.0000000000000001E-4</v>
      </c>
      <c r="J55" s="1877">
        <f>IF(H59="非个人房产","",4)</f>
        <v>4</v>
      </c>
      <c r="K55" s="2888" t="str">
        <f>IF(H59="非个人房产","——","个人所得税")</f>
        <v>个人所得税</v>
      </c>
      <c r="L55" s="2888"/>
      <c r="M55" s="780">
        <f ca="1">D59</f>
        <v>312406</v>
      </c>
      <c r="N55" s="1880" t="str">
        <f>E59</f>
        <v>销售额×税（费）率</v>
      </c>
      <c r="O55" s="781">
        <f>F59</f>
        <v>0.01</v>
      </c>
      <c r="P55" s="1840"/>
    </row>
    <row r="56" spans="1:16" ht="24.75">
      <c r="A56" s="2837" t="s">
        <v>1855</v>
      </c>
      <c r="B56" s="2892"/>
      <c r="C56" s="2892"/>
      <c r="D56" s="101">
        <f ca="1">IF(H56="个人住宅",D57,D58)</f>
        <v>17682206</v>
      </c>
      <c r="E56" s="10" t="s">
        <v>1856</v>
      </c>
      <c r="F56" s="100" t="str">
        <f>IF(H56="正常",F58,"免征")</f>
        <v>——</v>
      </c>
      <c r="G56" s="2255" t="s">
        <v>1857</v>
      </c>
      <c r="H56" s="2256" t="s">
        <v>1854</v>
      </c>
      <c r="I56" s="1017"/>
      <c r="J56" s="1877" t="str">
        <f>IF(项目基本情况!I6="上海银行",IF(J55="",4,J55+1),"")</f>
        <v/>
      </c>
      <c r="K56" s="2914" t="str">
        <f>IF(项目基本情况!I6="上海银行","其他处置费用","")</f>
        <v/>
      </c>
      <c r="L56" s="2915"/>
      <c r="M56" s="777" t="str">
        <f>IF(项目基本情况!I6="上海银行",M69,"")</f>
        <v/>
      </c>
      <c r="N56" s="2909" t="str">
        <f>IF(项目基本情况!I6="上海银行","包含处置中涉及的律师、诉讼、拍卖、评估等费用","")</f>
        <v/>
      </c>
      <c r="O56" s="2910"/>
      <c r="P56" s="1840"/>
    </row>
    <row r="57" spans="1:16" ht="12.75">
      <c r="A57" s="99" t="s">
        <v>1830</v>
      </c>
      <c r="B57" s="2896" t="s">
        <v>1858</v>
      </c>
      <c r="C57" s="2898"/>
      <c r="D57" s="103">
        <v>0</v>
      </c>
      <c r="E57" s="13" t="s">
        <v>1832</v>
      </c>
      <c r="F57" s="70"/>
      <c r="G57" s="2253"/>
      <c r="H57" s="1017"/>
      <c r="I57" s="1017"/>
      <c r="J57" s="2888">
        <f>IF(AND(J55="",J56=""),4,IF(项目基本情况!I6="上海银行",J56+1,J55+1))</f>
        <v>5</v>
      </c>
      <c r="K57" s="2888" t="s">
        <v>1859</v>
      </c>
      <c r="L57" s="2257" t="s">
        <v>1860</v>
      </c>
      <c r="M57" s="782"/>
      <c r="N57" s="783">
        <f ca="1">SUMIF(M52:M56,"&lt;9e307")</f>
        <v>19676400</v>
      </c>
      <c r="O57" s="2258"/>
      <c r="P57" s="1836">
        <f ca="1">N57/M49</f>
        <v>0.62983330658932901</v>
      </c>
    </row>
    <row r="58" spans="1:16" ht="24.75">
      <c r="A58" s="99" t="s">
        <v>1841</v>
      </c>
      <c r="B58" s="2896" t="s">
        <v>1861</v>
      </c>
      <c r="C58" s="2897"/>
      <c r="D58" s="101">
        <f ca="1">IF(H58="转让取得",C81,C97)</f>
        <v>17682206</v>
      </c>
      <c r="E58" s="10" t="s">
        <v>1856</v>
      </c>
      <c r="F58" s="14" t="s">
        <v>48</v>
      </c>
      <c r="G58" s="2253"/>
      <c r="H58" s="2256" t="s">
        <v>1862</v>
      </c>
      <c r="I58" s="1017"/>
      <c r="J58" s="2888"/>
      <c r="K58" s="2888"/>
      <c r="L58" s="2257" t="s">
        <v>1863</v>
      </c>
      <c r="M58" s="784"/>
      <c r="N58" s="2259" t="str">
        <f ca="1">IF(H19="元",NUMBERSTRING(INT(N57),2)&amp;"元整",NUMBERSTRING(INT(N57*10000),2)&amp;"元整")</f>
        <v>壹仟玖佰陆拾柒万陆仟肆佰元整</v>
      </c>
      <c r="O58" s="2260"/>
      <c r="P58" s="1840"/>
    </row>
    <row r="59" spans="1:16" ht="26.25" thickBot="1">
      <c r="A59" s="2838" t="s">
        <v>1864</v>
      </c>
      <c r="B59" s="2841"/>
      <c r="C59" s="2841"/>
      <c r="D59" s="104">
        <f ca="1">IF(H59="非个人房产","——",IF(H59="个人住宅",0,ROUND(D45*I59,0)))</f>
        <v>312406</v>
      </c>
      <c r="E59" s="105" t="str">
        <f>IF(H59="非个人房产","——","销售额×税（费）率")</f>
        <v>销售额×税（费）率</v>
      </c>
      <c r="F59" s="106">
        <f>IF(H59="非个人房产","——",IF(H59="个人住宅","免征",I59))</f>
        <v>0.01</v>
      </c>
      <c r="G59" s="2261" t="s">
        <v>1857</v>
      </c>
      <c r="H59" s="2256" t="s">
        <v>1865</v>
      </c>
      <c r="I59" s="107">
        <v>0.01</v>
      </c>
      <c r="J59" s="2911">
        <f>J57+1</f>
        <v>6</v>
      </c>
      <c r="K59" s="2888" t="s">
        <v>1866</v>
      </c>
      <c r="L59" s="1877" t="s">
        <v>1860</v>
      </c>
      <c r="M59" s="785"/>
      <c r="N59" s="786">
        <f ca="1">M49-N57</f>
        <v>11564247</v>
      </c>
      <c r="O59" s="2262"/>
      <c r="P59" s="1840"/>
    </row>
    <row r="60" spans="1:16" ht="12" customHeight="1">
      <c r="A60" s="2059"/>
      <c r="B60" s="2186"/>
      <c r="C60" s="2186"/>
      <c r="D60" s="2186"/>
      <c r="E60" s="1017"/>
      <c r="F60" s="1017"/>
      <c r="G60" s="1017"/>
      <c r="H60" s="2239"/>
      <c r="I60" s="2186"/>
      <c r="J60" s="2912"/>
      <c r="K60" s="2888"/>
      <c r="L60" s="2257" t="s">
        <v>1863</v>
      </c>
      <c r="M60" s="784"/>
      <c r="N60" s="2259" t="str">
        <f ca="1">IF(H19="元",NUMBERSTRING(INT(N59),2)&amp;"元整",NUMBERSTRING(INT(N59*10000),2)&amp;"元整")</f>
        <v>壹仟壹佰伍拾陆万肆仟贰佰肆拾柒元整</v>
      </c>
      <c r="O60" s="2260"/>
      <c r="P60" s="1840"/>
    </row>
    <row r="61" spans="1:16" ht="13.5" thickBot="1">
      <c r="A61" s="2913" t="s">
        <v>1867</v>
      </c>
      <c r="B61" s="2913"/>
      <c r="C61" s="2913"/>
      <c r="D61" s="2913"/>
      <c r="E61" s="2913"/>
      <c r="F61" s="1017"/>
      <c r="G61" s="1017"/>
      <c r="H61" s="2239"/>
      <c r="I61" s="2186"/>
      <c r="J61" s="1877">
        <f>J59+1</f>
        <v>7</v>
      </c>
      <c r="K61" s="2888" t="s">
        <v>1868</v>
      </c>
      <c r="L61" s="2888"/>
      <c r="M61" s="787"/>
      <c r="N61" s="788">
        <f ca="1">IF(H19="元",ROUND(N59/项目基本情况!C12,0),ROUND(N59*10000/项目基本情况!C12,0))</f>
        <v>44208</v>
      </c>
      <c r="O61" s="2263"/>
      <c r="P61" s="1840"/>
    </row>
    <row r="62" spans="1:16" ht="12.75">
      <c r="A62" s="2916" t="s">
        <v>1869</v>
      </c>
      <c r="B62" s="2917"/>
      <c r="C62" s="1879"/>
      <c r="D62" s="1879" t="s">
        <v>1870</v>
      </c>
      <c r="E62" s="108" t="s">
        <v>1871</v>
      </c>
      <c r="F62" s="1017"/>
      <c r="G62" s="1017"/>
      <c r="H62" s="2239"/>
      <c r="I62" s="2186"/>
      <c r="J62" s="1840"/>
      <c r="K62" s="1840"/>
      <c r="L62" s="1840"/>
      <c r="M62" s="1840"/>
      <c r="N62" s="1840"/>
      <c r="O62" s="1840"/>
      <c r="P62" s="1840"/>
    </row>
    <row r="63" spans="1:16" ht="12.75">
      <c r="A63" s="109">
        <v>1</v>
      </c>
      <c r="B63" s="110" t="s">
        <v>1872</v>
      </c>
      <c r="C63" s="111">
        <f ca="1">ROUND((C64+C65)/(1+'数据-取费表'!F30),0)</f>
        <v>29752997</v>
      </c>
      <c r="D63" s="112"/>
      <c r="E63" s="113"/>
      <c r="F63" s="1017"/>
      <c r="G63" s="1017"/>
      <c r="H63" s="2239"/>
      <c r="I63" s="2186"/>
      <c r="J63" s="2873" t="s">
        <v>1873</v>
      </c>
      <c r="K63" s="2264" t="s">
        <v>1874</v>
      </c>
      <c r="L63" s="1839">
        <f ca="1">IF(M49&gt;10000,M49*0.5%,IF(AND(M49&gt;1000,M49&lt;=10000),M49*1%,IF(AND(M49&gt;100,M49&lt;=1000),M49*3%,IF(AND(M49&gt;10,M49&lt;=100),M49*5%,M49*8%))))</f>
        <v>156203.23500000002</v>
      </c>
      <c r="M63" s="14">
        <f ca="1">ROUND(L63,1)</f>
        <v>156203.20000000001</v>
      </c>
      <c r="N63" s="1840"/>
      <c r="O63" s="1840"/>
      <c r="P63" s="1840"/>
    </row>
    <row r="64" spans="1:16" ht="12.75">
      <c r="A64" s="114" t="s">
        <v>71</v>
      </c>
      <c r="B64" s="115" t="s">
        <v>1875</v>
      </c>
      <c r="C64" s="116">
        <f ca="1">D45</f>
        <v>31240647</v>
      </c>
      <c r="D64" s="117" t="s">
        <v>41</v>
      </c>
      <c r="E64" s="118"/>
      <c r="F64" s="1017"/>
      <c r="G64" s="1017"/>
      <c r="H64" s="2239"/>
      <c r="I64" s="2186"/>
      <c r="J64" s="2873"/>
      <c r="K64" s="2264" t="s">
        <v>1876</v>
      </c>
      <c r="L64" s="1839">
        <f ca="1">IF(M49&gt;2000,M49*0.5%,IF(AND(M49&gt;1000,M49&lt;=2000),M49*0.6%,IF(AND(M49&gt;500,M49&lt;=1000),M49*0.7%,IF(AND(M49&gt;200,M49&lt;=500),M49*0.8%,IF(AND(M49&gt;100,M49&lt;=200),M49*0.9%,IF(AND(M49&gt;50,M49&lt;=100),M49*1%,IF(AND(M49&gt;20,M49&lt;=50),M49*1.5%,IF(AND(M49&gt;10,M49&lt;=20),M49*2%,IF(AND(M49&gt;1,M49&lt;=10),M49*2.5%)))))))))</f>
        <v>156203.23500000002</v>
      </c>
      <c r="M64" s="14">
        <f t="shared" ref="M64:M65" ca="1" si="2">ROUND(L64,1)</f>
        <v>156203.20000000001</v>
      </c>
      <c r="N64" s="1840" t="s">
        <v>1877</v>
      </c>
      <c r="O64" s="1840"/>
      <c r="P64" s="1840"/>
    </row>
    <row r="65" spans="1:35" ht="12.75">
      <c r="A65" s="114" t="s">
        <v>72</v>
      </c>
      <c r="B65" s="115" t="s">
        <v>1878</v>
      </c>
      <c r="C65" s="119"/>
      <c r="D65" s="117"/>
      <c r="E65" s="118"/>
      <c r="F65" s="1017"/>
      <c r="G65" s="1017"/>
      <c r="H65" s="2239"/>
      <c r="I65" s="2186"/>
      <c r="J65" s="2873"/>
      <c r="K65" s="2264" t="s">
        <v>1879</v>
      </c>
      <c r="L65" s="1839">
        <f ca="1">IF(M49&gt;1000,M49*0.1%,IF(AND(M49&gt;500,M49&lt;=1000),M49*0.5%,IF(AND(M49&gt;50,M49&lt;=500),M49*1%,IF(AND(M49&gt;1,M49&lt;=50),M49*1.5%))))</f>
        <v>31240.647000000001</v>
      </c>
      <c r="M65" s="14">
        <f t="shared" ca="1" si="2"/>
        <v>31240.6</v>
      </c>
      <c r="N65" s="1840" t="s">
        <v>1877</v>
      </c>
      <c r="O65" s="1840"/>
      <c r="P65" s="1840"/>
    </row>
    <row r="66" spans="1:35" ht="12.75">
      <c r="A66" s="120" t="s">
        <v>47</v>
      </c>
      <c r="B66" s="121" t="s">
        <v>1880</v>
      </c>
      <c r="C66" s="122"/>
      <c r="D66" s="123" t="s">
        <v>41</v>
      </c>
      <c r="E66" s="1856" t="s">
        <v>1881</v>
      </c>
      <c r="F66" s="1017"/>
      <c r="G66" s="1017"/>
      <c r="H66" s="2239"/>
      <c r="I66" s="2186"/>
      <c r="J66" s="2873"/>
      <c r="K66" s="2264" t="s">
        <v>1882</v>
      </c>
      <c r="L66" s="1839">
        <f ca="1">M49*0.5%</f>
        <v>156203.23500000002</v>
      </c>
      <c r="M66" s="14">
        <f ca="1">IF(L66&gt;0.5,0.5,ROUND(L66,0))</f>
        <v>0.5</v>
      </c>
      <c r="N66" s="1840" t="s">
        <v>1883</v>
      </c>
      <c r="O66" s="1840"/>
      <c r="P66" s="1840"/>
    </row>
    <row r="67" spans="1:35" ht="12.75">
      <c r="A67" s="120" t="s">
        <v>42</v>
      </c>
      <c r="B67" s="121" t="s">
        <v>1884</v>
      </c>
      <c r="C67" s="124">
        <f ca="1">C63-C66</f>
        <v>29752997</v>
      </c>
      <c r="D67" s="117" t="s">
        <v>41</v>
      </c>
      <c r="E67" s="118"/>
      <c r="F67" s="1017"/>
      <c r="G67" s="1017"/>
      <c r="H67" s="2239"/>
      <c r="I67" s="2186"/>
      <c r="J67" s="2873"/>
      <c r="K67" s="2264" t="s">
        <v>1885</v>
      </c>
      <c r="L67" s="1839">
        <f ca="1">IF(M49&gt;=10000,(8.25+(M49-10000)*0.01%),IF(AND(M49&gt;=8000,M49&lt;10000),(7.85+(M49-8000)*0.02%),IF(AND(M49&gt;=5000,M49&lt;8000),(6.65+(M49-5000)*0.04%),IF(AND(M49&gt;=2000,M49&lt;5000),(4.25+(PM49-2000)*0.08%),IF(AND(M49&gt;=1000,M49&lt;2000),(2.75+(M49-1000)*0.15%),IF(AND(M49&gt;=100,M49&lt;1000),(0.5+(M49-100)*0.25%),IF(AND(M49&gt;0,M49&lt;100),M49*0.5%)))))))</f>
        <v>3131.3147000000004</v>
      </c>
      <c r="M67" s="14">
        <f ca="1">ROUND(L67*0.9,1)</f>
        <v>2818.2</v>
      </c>
      <c r="N67" s="1840"/>
      <c r="O67" s="1840"/>
      <c r="P67" s="1840"/>
    </row>
    <row r="68" spans="1:35" ht="13.5" thickBot="1">
      <c r="A68" s="125" t="s">
        <v>46</v>
      </c>
      <c r="B68" s="126" t="s">
        <v>1886</v>
      </c>
      <c r="C68" s="127">
        <f ca="1">IF(C67&lt;=0,0,ROUND(C67*D68,0))</f>
        <v>1666168</v>
      </c>
      <c r="D68" s="128">
        <f>'数据-取费表'!E29</f>
        <v>5.6000000000000001E-2</v>
      </c>
      <c r="E68" s="129"/>
      <c r="F68" s="1017"/>
      <c r="G68" s="1017"/>
      <c r="H68" s="2239"/>
      <c r="I68" s="2186"/>
      <c r="J68" s="2873"/>
      <c r="K68" s="2264" t="s">
        <v>1887</v>
      </c>
      <c r="L68" s="1839">
        <f ca="1">IF(M49&gt;10000,M49*0.5%,IF(AND(M49&gt;5000,M49&lt;=10000),M49*1%,IF(AND(M49&gt;1000,M49&lt;=5000),M49*2%,IF(AND(M49&gt;200,M49&lt;=1000),M49*3%,M49*5%))))</f>
        <v>156203.23500000002</v>
      </c>
      <c r="M68" s="14">
        <f ca="1">ROUND(L68,1)</f>
        <v>156203.20000000001</v>
      </c>
      <c r="N68" s="1840"/>
      <c r="O68" s="1840"/>
      <c r="P68" s="1840"/>
    </row>
    <row r="69" spans="1:35" s="2213" customFormat="1" ht="7.5" customHeight="1">
      <c r="A69" s="2265"/>
      <c r="B69" s="2266"/>
      <c r="C69" s="2267"/>
      <c r="D69" s="2268"/>
      <c r="E69" s="2269"/>
      <c r="F69" s="1017"/>
      <c r="G69" s="1017"/>
      <c r="H69" s="2239"/>
      <c r="I69" s="2186"/>
      <c r="J69" s="2873"/>
      <c r="K69" s="2264" t="s">
        <v>1888</v>
      </c>
      <c r="L69" s="2270"/>
      <c r="M69" s="14">
        <f ca="1">ROUND(SUM(M63:M68),0)</f>
        <v>502669</v>
      </c>
      <c r="N69" s="1836">
        <f ca="1">M69/M49</f>
        <v>1.6090223739604368E-2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2" customFormat="1" ht="15" thickBot="1">
      <c r="A70" s="2927" t="s">
        <v>1889</v>
      </c>
      <c r="B70" s="2928"/>
      <c r="C70" s="2928"/>
      <c r="D70" s="2928"/>
      <c r="E70" s="2928"/>
      <c r="F70" s="2928"/>
      <c r="G70" s="2928"/>
      <c r="H70" s="2928"/>
      <c r="I70" s="2271"/>
      <c r="O70" s="1281"/>
      <c r="P70" s="1281"/>
      <c r="Q70" s="1281"/>
      <c r="R70" s="1281"/>
      <c r="S70" s="1281"/>
      <c r="T70" s="1281"/>
      <c r="U70" s="1281"/>
      <c r="V70" s="1281"/>
      <c r="W70" s="1281"/>
      <c r="X70" s="1281"/>
      <c r="Y70" s="1281"/>
      <c r="Z70" s="1281"/>
      <c r="AA70" s="2273"/>
      <c r="AB70" s="2273"/>
      <c r="AC70" s="2273"/>
      <c r="AD70" s="2273"/>
      <c r="AE70" s="2273"/>
      <c r="AF70" s="2273"/>
      <c r="AG70" s="2273"/>
      <c r="AH70" s="2273"/>
      <c r="AI70" s="2273"/>
    </row>
    <row r="71" spans="1:35" s="2272" customFormat="1" ht="14.25">
      <c r="A71" s="2916" t="s">
        <v>1869</v>
      </c>
      <c r="B71" s="2917"/>
      <c r="C71" s="1879"/>
      <c r="D71" s="1879" t="s">
        <v>1870</v>
      </c>
      <c r="E71" s="130" t="s">
        <v>1871</v>
      </c>
      <c r="F71" s="131"/>
      <c r="G71" s="131"/>
      <c r="H71" s="132"/>
      <c r="I71" s="2274"/>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133">
        <v>1</v>
      </c>
      <c r="B72" s="121" t="s">
        <v>1890</v>
      </c>
      <c r="C72" s="124">
        <f ca="1">ROUND(D45/(1+'数据-取费表'!F30),0)</f>
        <v>29752997</v>
      </c>
      <c r="D72" s="117" t="s">
        <v>41</v>
      </c>
      <c r="E72" s="12" t="s">
        <v>1891</v>
      </c>
      <c r="F72" s="1883"/>
      <c r="G72" s="1883"/>
      <c r="H72" s="134"/>
      <c r="I72" s="2274"/>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5">
        <v>2</v>
      </c>
      <c r="B73" s="89" t="s">
        <v>1892</v>
      </c>
      <c r="C73" s="124">
        <f ca="1">C74+C78</f>
        <v>178518</v>
      </c>
      <c r="D73" s="117" t="s">
        <v>41</v>
      </c>
      <c r="E73" s="1882"/>
      <c r="F73" s="1883"/>
      <c r="G73" s="1883"/>
      <c r="H73" s="134"/>
      <c r="I73" s="2274"/>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24">
      <c r="A74" s="136" t="s">
        <v>73</v>
      </c>
      <c r="B74" s="115" t="s">
        <v>1893</v>
      </c>
      <c r="C74" s="117">
        <f>ROUND(IF(G77="2016年5月1日后购买",C75/(1+'数据-取费表'!F30)+C76+C77,C75+C76+C77),0)</f>
        <v>0</v>
      </c>
      <c r="D74" s="117" t="s">
        <v>41</v>
      </c>
      <c r="E74" s="1882"/>
      <c r="F74" s="1883"/>
      <c r="G74" s="1883"/>
      <c r="H74" s="134"/>
      <c r="I74" s="2274"/>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74</v>
      </c>
      <c r="B75" s="115" t="s">
        <v>1894</v>
      </c>
      <c r="C75" s="137"/>
      <c r="D75" s="117" t="s">
        <v>41</v>
      </c>
      <c r="E75" s="138" t="s">
        <v>1895</v>
      </c>
      <c r="F75" s="2275" t="s">
        <v>1896</v>
      </c>
      <c r="G75" s="138" t="s">
        <v>1897</v>
      </c>
      <c r="H75" s="139"/>
      <c r="I75" s="9"/>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24.75" customHeight="1">
      <c r="A76" s="136" t="s">
        <v>75</v>
      </c>
      <c r="B76" s="140" t="s">
        <v>1898</v>
      </c>
      <c r="C76" s="117">
        <f>IF(F75="购房发票",ROUND(C75*H75*D76,0),0)</f>
        <v>0</v>
      </c>
      <c r="D76" s="141">
        <v>0.05</v>
      </c>
      <c r="E76" s="2889" t="s">
        <v>1899</v>
      </c>
      <c r="F76" s="2887"/>
      <c r="G76" s="2887"/>
      <c r="H76" s="2929"/>
      <c r="I76" s="2274"/>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6" t="s">
        <v>1902</v>
      </c>
      <c r="H77" s="1884" t="str">
        <f>IF(G77="个人买卖住房","免征印花税"," ")</f>
        <v xml:space="preserve"> </v>
      </c>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77</v>
      </c>
      <c r="B78" s="115" t="s">
        <v>1903</v>
      </c>
      <c r="C78" s="144">
        <f ca="1">ROUND(D45*D78/(1+'数据-取费表'!F30),0)</f>
        <v>178518</v>
      </c>
      <c r="D78" s="145">
        <f>'数据-取费表'!E31</f>
        <v>6.000000000000001E-3</v>
      </c>
      <c r="E78" s="2918" t="s">
        <v>1904</v>
      </c>
      <c r="F78" s="2919"/>
      <c r="G78" s="2919"/>
      <c r="H78" s="2920"/>
      <c r="I78" s="2277"/>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14.25">
      <c r="A79" s="146" t="s">
        <v>42</v>
      </c>
      <c r="B79" s="121" t="s">
        <v>1905</v>
      </c>
      <c r="C79" s="124">
        <f ca="1">C72-C73</f>
        <v>29574479</v>
      </c>
      <c r="D79" s="117" t="s">
        <v>41</v>
      </c>
      <c r="E79" s="1882"/>
      <c r="F79" s="1883"/>
      <c r="G79" s="1883"/>
      <c r="H79" s="134"/>
      <c r="I79" s="2274"/>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24">
      <c r="A80" s="146" t="s">
        <v>43</v>
      </c>
      <c r="B80" s="121" t="s">
        <v>1906</v>
      </c>
      <c r="C80" s="147">
        <f ca="1">IF(C79&lt;=0,0,C79/C73)</f>
        <v>165.6666498616386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24.75" thickBot="1">
      <c r="A81" s="148" t="s">
        <v>44</v>
      </c>
      <c r="B81" s="126" t="s">
        <v>1907</v>
      </c>
      <c r="C81" s="149">
        <f ca="1">ROUND(IF(C79&lt;=0,0,IF(C80&gt;=200%,C79*60%-C73*35%,IF(C80&gt;=100%,C79*50%-C73*15%,IF(C80&gt;=50%,C79*40%-C73*5%,IF(C80&lt;50%,C79*30%,0))))),0)</f>
        <v>17682206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15" thickBot="1">
      <c r="A83" s="2927" t="s">
        <v>1908</v>
      </c>
      <c r="B83" s="2928"/>
      <c r="C83" s="2928"/>
      <c r="D83" s="2928"/>
      <c r="E83" s="2928"/>
      <c r="F83" s="2928"/>
      <c r="G83" s="2928"/>
      <c r="H83" s="2928"/>
      <c r="I83" s="9"/>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4.25">
      <c r="A84" s="2916" t="s">
        <v>1869</v>
      </c>
      <c r="B84" s="2917"/>
      <c r="C84" s="1879"/>
      <c r="D84" s="1879" t="s">
        <v>1870</v>
      </c>
      <c r="E84" s="130" t="s">
        <v>1871</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24">
      <c r="A85" s="133">
        <v>1</v>
      </c>
      <c r="B85" s="121" t="s">
        <v>1890</v>
      </c>
      <c r="C85" s="124">
        <f ca="1">ROUND(D45/(1+'数据-取费表'!F30),0)</f>
        <v>29752997</v>
      </c>
      <c r="D85" s="117" t="s">
        <v>41</v>
      </c>
      <c r="E85" s="1882" t="s">
        <v>1891</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5">
        <v>2</v>
      </c>
      <c r="B86" s="89" t="s">
        <v>1892</v>
      </c>
      <c r="C86" s="124">
        <f ca="1">IF(H88="仅含出让金",C87+C90+C91+C92+C93+C94,C87+C91+C92+C93+C94)</f>
        <v>178518</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6" t="s">
        <v>73</v>
      </c>
      <c r="B87" s="115" t="s">
        <v>1909</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74</v>
      </c>
      <c r="B88" s="115" t="s">
        <v>1910</v>
      </c>
      <c r="C88" s="157"/>
      <c r="D88" s="145"/>
      <c r="E88" s="158" t="s">
        <v>1911</v>
      </c>
      <c r="F88" s="1876"/>
      <c r="G88" s="159" t="s">
        <v>1912</v>
      </c>
      <c r="H88" s="22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75</v>
      </c>
      <c r="B89" s="115" t="s">
        <v>1900</v>
      </c>
      <c r="C89" s="144">
        <f>ROUND(C88*D89,0)</f>
        <v>0</v>
      </c>
      <c r="D89" s="145">
        <f>'数据-取费表'!E36+'数据-取费表'!E37</f>
        <v>3.0499999999999999E-2</v>
      </c>
      <c r="E89" s="158" t="s">
        <v>1913</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77</v>
      </c>
      <c r="B90" s="115" t="s">
        <v>1914</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30.75" customHeight="1">
      <c r="A91" s="136" t="s">
        <v>78</v>
      </c>
      <c r="B91" s="115" t="s">
        <v>1915</v>
      </c>
      <c r="C91" s="144">
        <f>IF(H91="——",成本法!C33,I91)</f>
        <v>0</v>
      </c>
      <c r="D91" s="145"/>
      <c r="E91" s="2918" t="s">
        <v>1916</v>
      </c>
      <c r="F91" s="2919"/>
      <c r="G91" s="2919"/>
      <c r="H91" s="2279" t="s">
        <v>1917</v>
      </c>
      <c r="I91" s="2280"/>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25.5" customHeight="1">
      <c r="A92" s="136" t="s">
        <v>79</v>
      </c>
      <c r="B92" s="115" t="s">
        <v>1918</v>
      </c>
      <c r="C92" s="144">
        <f>ROUND((C87+C90+C91)*D92,0)</f>
        <v>0</v>
      </c>
      <c r="D92" s="145">
        <v>0.1</v>
      </c>
      <c r="E92" s="2918" t="s">
        <v>1919</v>
      </c>
      <c r="F92" s="2919"/>
      <c r="G92" s="2919"/>
      <c r="H92" s="2920"/>
      <c r="I92" s="9"/>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80</v>
      </c>
      <c r="B93" s="115" t="s">
        <v>1903</v>
      </c>
      <c r="C93" s="144">
        <f ca="1">ROUND(D45*D93/(1+'数据-取费表'!F30),0)</f>
        <v>178518</v>
      </c>
      <c r="D93" s="145">
        <f>'数据-取费表'!E31</f>
        <v>6.000000000000001E-3</v>
      </c>
      <c r="E93" s="2918" t="s">
        <v>1904</v>
      </c>
      <c r="F93" s="2919"/>
      <c r="G93" s="2919"/>
      <c r="H93" s="2920"/>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81</v>
      </c>
      <c r="B94" s="115" t="s">
        <v>1920</v>
      </c>
      <c r="C94" s="144">
        <f>ROUND((C87+C90+C91)*D94,0)</f>
        <v>0</v>
      </c>
      <c r="D94" s="145">
        <v>0.2</v>
      </c>
      <c r="E94" s="2918" t="s">
        <v>1921</v>
      </c>
      <c r="F94" s="2919"/>
      <c r="G94" s="2919"/>
      <c r="H94" s="2920"/>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14.25">
      <c r="A95" s="146" t="s">
        <v>42</v>
      </c>
      <c r="B95" s="121" t="s">
        <v>1905</v>
      </c>
      <c r="C95" s="124">
        <f ca="1">ROUND(C85-C86,0)</f>
        <v>29574479</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24">
      <c r="A96" s="146" t="s">
        <v>43</v>
      </c>
      <c r="B96" s="121" t="s">
        <v>1906</v>
      </c>
      <c r="C96" s="147">
        <f ca="1">IF(C95&lt;=0,0,C95/C86)</f>
        <v>165.6666498616386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24.75" thickBot="1">
      <c r="A97" s="148" t="s">
        <v>44</v>
      </c>
      <c r="B97" s="126" t="s">
        <v>1907</v>
      </c>
      <c r="C97" s="149">
        <f ca="1">ROUND(IF(C95&lt;=0,0,IF(C96&gt;=200%,C95*60%-C86*35%,IF(C96&gt;=100%,C95*50%-C86*15%,IF(C96&gt;=50%,C95*40%-C86*5%,IF(C96&lt;50%,C95*30%,0))))),0)</f>
        <v>17682206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ht="21.75" customHeight="1" thickBot="1">
      <c r="A98" s="2242" t="s">
        <v>1922</v>
      </c>
      <c r="B98" s="2186"/>
      <c r="C98" s="2186"/>
      <c r="D98" s="2186"/>
      <c r="E98" s="1017"/>
      <c r="F98" s="1017"/>
      <c r="G98" s="1017"/>
      <c r="H98" s="2239"/>
      <c r="I98" s="2186"/>
    </row>
    <row r="99" spans="1:35" ht="15.75">
      <c r="A99" s="2921" t="s">
        <v>1923</v>
      </c>
      <c r="B99" s="2922"/>
      <c r="C99" s="2922"/>
      <c r="D99" s="2923"/>
      <c r="E99" s="2186"/>
      <c r="F99" s="2924" t="s">
        <v>1924</v>
      </c>
      <c r="G99" s="2925"/>
      <c r="H99" s="2925"/>
      <c r="I99" s="2926"/>
    </row>
    <row r="100" spans="1:35" ht="15.75">
      <c r="A100" s="2930" t="s">
        <v>1925</v>
      </c>
      <c r="B100" s="2931"/>
      <c r="C100" s="719" t="str">
        <f>C4</f>
        <v>收益法</v>
      </c>
      <c r="D100" s="720" t="str">
        <f>D4</f>
        <v>比较法-住宅</v>
      </c>
      <c r="E100" s="2186"/>
      <c r="F100" s="2932" t="s">
        <v>1926</v>
      </c>
      <c r="G100" s="2933"/>
      <c r="H100" s="2932" t="s">
        <v>1927</v>
      </c>
      <c r="I100" s="2935"/>
    </row>
    <row r="101" spans="1:35" ht="15.75">
      <c r="A101" s="3012" t="s">
        <v>1928</v>
      </c>
      <c r="B101" s="2281" t="str">
        <f>IF(H19="元","总价（元）","总价（万元）")</f>
        <v>总价（元）</v>
      </c>
      <c r="C101" s="719">
        <f ca="1">C19</f>
        <v>11070498</v>
      </c>
      <c r="D101" s="720">
        <f ca="1">D19</f>
        <v>36283318</v>
      </c>
      <c r="E101" s="2186"/>
      <c r="F101" s="2932" t="str">
        <f>项目基本情况!I1</f>
        <v>北京市房地产</v>
      </c>
      <c r="G101" s="2933"/>
      <c r="H101" s="2939">
        <f>项目基本情况!C12</f>
        <v>261.58999999999997</v>
      </c>
      <c r="I101" s="2935"/>
    </row>
    <row r="102" spans="1:35" ht="15.75">
      <c r="A102" s="3012"/>
      <c r="B102" s="2281" t="s">
        <v>1929</v>
      </c>
      <c r="C102" s="721">
        <f ca="1">C20</f>
        <v>42320</v>
      </c>
      <c r="D102" s="722">
        <f ca="1">D20</f>
        <v>138703</v>
      </c>
      <c r="E102" s="2186"/>
      <c r="F102" s="2940" t="s">
        <v>1930</v>
      </c>
      <c r="G102" s="2941"/>
      <c r="H102" s="2282" t="str">
        <f>C106</f>
        <v>总价（元）</v>
      </c>
      <c r="I102" s="1857">
        <f ca="1">H121</f>
        <v>31240647</v>
      </c>
    </row>
    <row r="103" spans="1:35" ht="15">
      <c r="A103" s="3012" t="s">
        <v>1931</v>
      </c>
      <c r="B103" s="2283" t="str">
        <f>B101</f>
        <v>总价（元）</v>
      </c>
      <c r="C103" s="723">
        <f ca="1">H121</f>
        <v>31240647</v>
      </c>
      <c r="D103" s="724"/>
      <c r="E103" s="2186"/>
      <c r="F103" s="2940"/>
      <c r="G103" s="2941"/>
      <c r="H103" s="2282" t="s">
        <v>1929</v>
      </c>
      <c r="I103" s="1045">
        <f ca="1">I121</f>
        <v>119426</v>
      </c>
    </row>
    <row r="104" spans="1:35" ht="16.5" thickBot="1">
      <c r="A104" s="2984"/>
      <c r="B104" s="2284" t="s">
        <v>1929</v>
      </c>
      <c r="C104" s="725">
        <f ca="1">I121</f>
        <v>119426</v>
      </c>
      <c r="D104" s="726"/>
      <c r="E104" s="2186"/>
      <c r="F104" s="2942"/>
      <c r="G104" s="2943"/>
      <c r="H104" s="2944"/>
      <c r="I104" s="2945"/>
    </row>
    <row r="105" spans="1:35" ht="15.75">
      <c r="A105" s="2921" t="s">
        <v>1932</v>
      </c>
      <c r="B105" s="2922"/>
      <c r="C105" s="2922"/>
      <c r="D105" s="2923"/>
      <c r="E105" s="2186"/>
      <c r="F105" s="2951" t="s">
        <v>1933</v>
      </c>
      <c r="G105" s="2952"/>
      <c r="H105" s="2285" t="str">
        <f>C108</f>
        <v>总额（元）</v>
      </c>
      <c r="I105" s="1857">
        <f>SUMIF(I106:I108,"&lt;9E307")</f>
        <v>0</v>
      </c>
    </row>
    <row r="106" spans="1:35" ht="15">
      <c r="A106" s="2953" t="s">
        <v>1934</v>
      </c>
      <c r="B106" s="2954"/>
      <c r="C106" s="2282" t="str">
        <f>B101</f>
        <v>总价（元）</v>
      </c>
      <c r="D106" s="1046">
        <f ca="1">H121</f>
        <v>31240647</v>
      </c>
      <c r="E106" s="2186"/>
      <c r="F106" s="2949" t="s">
        <v>1935</v>
      </c>
      <c r="G106" s="2950"/>
      <c r="H106" s="2285" t="str">
        <f>C109</f>
        <v>总额（元）</v>
      </c>
      <c r="I106" s="1045">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53"/>
      <c r="B107" s="2954"/>
      <c r="C107" s="2282" t="s">
        <v>1929</v>
      </c>
      <c r="D107" s="1047">
        <f ca="1">I121</f>
        <v>119426</v>
      </c>
      <c r="E107" s="2186"/>
      <c r="F107" s="2949" t="s">
        <v>1936</v>
      </c>
      <c r="G107" s="2950"/>
      <c r="H107" s="2285" t="str">
        <f>C110</f>
        <v>总额（元）</v>
      </c>
      <c r="I107" s="1045">
        <f>C37</f>
        <v>0</v>
      </c>
      <c r="K107" s="2286"/>
    </row>
    <row r="108" spans="1:35" ht="15">
      <c r="A108" s="2955" t="s">
        <v>1937</v>
      </c>
      <c r="B108" s="2956"/>
      <c r="C108" s="2285" t="str">
        <f>IF(H19="元","总额（元）","总额（万元）")</f>
        <v>总额（元）</v>
      </c>
      <c r="D108" s="1046">
        <f>IF(D36="正常操作",I106+I107+I108,I107+I108)</f>
        <v>0</v>
      </c>
      <c r="E108" s="2186"/>
      <c r="F108" s="2949" t="s">
        <v>1938</v>
      </c>
      <c r="G108" s="2950"/>
      <c r="H108" s="2285" t="str">
        <f>C111</f>
        <v>总额（元）</v>
      </c>
      <c r="I108" s="1045">
        <f>C38</f>
        <v>0</v>
      </c>
    </row>
    <row r="109" spans="1:35" ht="15.75">
      <c r="A109" s="2949" t="s">
        <v>1935</v>
      </c>
      <c r="B109" s="2950"/>
      <c r="C109" s="2285" t="str">
        <f>C108</f>
        <v>总额（元）</v>
      </c>
      <c r="D109" s="637">
        <f>IF(D36="同一抵押权人同一抵押物续贷",C36&amp;"（未扣减，详见特别提示）",C36)</f>
        <v>0</v>
      </c>
      <c r="E109" s="2186"/>
      <c r="F109" s="2942"/>
      <c r="G109" s="2943"/>
      <c r="H109" s="2957"/>
      <c r="I109" s="2958"/>
    </row>
    <row r="110" spans="1:35" ht="28.5" customHeight="1">
      <c r="A110" s="2949" t="s">
        <v>1936</v>
      </c>
      <c r="B110" s="2950"/>
      <c r="C110" s="2285" t="str">
        <f>C108</f>
        <v>总额（元）</v>
      </c>
      <c r="D110" s="637">
        <f>C37</f>
        <v>0</v>
      </c>
      <c r="E110" s="2186"/>
      <c r="F110" s="2959" t="str">
        <f>IF(项目基本情况!F5="已注销","——","3.房地产抵押价值")</f>
        <v>3.房地产抵押价值</v>
      </c>
      <c r="G110" s="2960"/>
      <c r="H110" s="2287" t="str">
        <f>C112</f>
        <v>总价（元）</v>
      </c>
      <c r="I110" s="1858">
        <f ca="1">IF(F110="——","——",I102-I105)</f>
        <v>31240647</v>
      </c>
    </row>
    <row r="111" spans="1:35" ht="15">
      <c r="A111" s="2949" t="s">
        <v>1938</v>
      </c>
      <c r="B111" s="2950"/>
      <c r="C111" s="2285" t="str">
        <f>C108</f>
        <v>总额（元）</v>
      </c>
      <c r="D111" s="637">
        <f>C38</f>
        <v>0</v>
      </c>
      <c r="E111" s="2186"/>
      <c r="F111" s="2961"/>
      <c r="G111" s="2962"/>
      <c r="H111" s="2282" t="s">
        <v>1929</v>
      </c>
      <c r="I111" s="2288">
        <f ca="1">D113</f>
        <v>119426</v>
      </c>
    </row>
    <row r="112" spans="1:35" ht="26.25" customHeight="1">
      <c r="A112" s="2953" t="str">
        <f>IF(项目基本情况!F5="已注销","——","3.房地产抵押价值")</f>
        <v>3.房地产抵押价值</v>
      </c>
      <c r="B112" s="2954"/>
      <c r="C112" s="2282" t="str">
        <f>B101</f>
        <v>总价（元）</v>
      </c>
      <c r="D112" s="1046">
        <f ca="1">IF(A112="——","——",D106-D108)</f>
        <v>31240647</v>
      </c>
      <c r="E112" s="2186"/>
      <c r="F112" s="2959" t="str">
        <f>IF(项目基本情况!F5="已注销及未注销","4.抵押担保权已注销时的房地产抵押价值",IF(项目基本情况!F5="已注销","3.抵押担保权已注销时的房地产抵押价值","——"))</f>
        <v>——</v>
      </c>
      <c r="G112" s="2960"/>
      <c r="H112" s="2287" t="str">
        <f>C114</f>
        <v>总价（元）</v>
      </c>
      <c r="I112" s="1858" t="str">
        <f>IF(F112="——","——",I102-I107-I108)</f>
        <v>——</v>
      </c>
    </row>
    <row r="113" spans="1:15" ht="15">
      <c r="A113" s="2953"/>
      <c r="B113" s="2954"/>
      <c r="C113" s="2282" t="s">
        <v>1929</v>
      </c>
      <c r="D113" s="1047">
        <f ca="1">ROUND(IF(D112=D106,D107,IF(H19="元",D112/项目基本情况!C12,D112*10000/项目基本情况!C12)),0)</f>
        <v>119426</v>
      </c>
      <c r="E113" s="2186"/>
      <c r="F113" s="2961"/>
      <c r="G113" s="2962"/>
      <c r="H113" s="2282" t="s">
        <v>1929</v>
      </c>
      <c r="I113" s="2289" t="str">
        <f>D115</f>
        <v>——</v>
      </c>
    </row>
    <row r="114" spans="1:15" ht="15.75">
      <c r="A114" s="2953" t="str">
        <f>IF(项目基本情况!F5="已注销及未注销","4.抵押担保权已注销时的房地产抵押价值",IF(项目基本情况!F5="已注销","3.抵押担保权已注销时的房地产抵押价值","——"))</f>
        <v>——</v>
      </c>
      <c r="B114" s="2954"/>
      <c r="C114" s="2282" t="str">
        <f>B101</f>
        <v>总价（元）</v>
      </c>
      <c r="D114" s="1046" t="str">
        <f>IF(A114="——","——",D106-D110-D111)</f>
        <v>——</v>
      </c>
      <c r="E114" s="2186"/>
      <c r="F114" s="2959" t="str">
        <f>IF(项目基本情况!G5="抵押净值",IF(OR(项目基本情况!F5="已注销",项目基本情况!F5="房地产抵押价值"),"4.抵押净值","5.抵押净值"),"——")</f>
        <v>——</v>
      </c>
      <c r="G114" s="2960"/>
      <c r="H114" s="2282" t="str">
        <f>C116</f>
        <v>总价（元）</v>
      </c>
      <c r="I114" s="1857" t="str">
        <f>IF(F114="——","——",N59)</f>
        <v>——</v>
      </c>
    </row>
    <row r="115" spans="1:15" ht="15.75" thickBot="1">
      <c r="A115" s="2953"/>
      <c r="B115" s="2954"/>
      <c r="C115" s="2282" t="s">
        <v>1929</v>
      </c>
      <c r="D115" s="1047" t="str">
        <f>IF(A114="——","——",ROUND(IF(D114=D106,D107,IF(H19="元",D114/项目基本情况!C12,D114*10000/项目基本情况!C12)),0))</f>
        <v>——</v>
      </c>
      <c r="E115" s="2186"/>
      <c r="F115" s="2968"/>
      <c r="G115" s="2969"/>
      <c r="H115" s="2290" t="s">
        <v>1929</v>
      </c>
      <c r="I115" s="1859" t="str">
        <f ca="1">D117</f>
        <v>——</v>
      </c>
    </row>
    <row r="116" spans="1:15" ht="15.75">
      <c r="A116" s="2953" t="str">
        <f>IF(项目基本情况!G5="抵押净值",IF(OR(项目基本情况!F5="已注销",项目基本情况!F5="房地产抵押价值"),"4.抵押净值","5.抵押净值"),"——")</f>
        <v>——</v>
      </c>
      <c r="B116" s="2954"/>
      <c r="C116" s="2282" t="str">
        <f>B101</f>
        <v>总价（元）</v>
      </c>
      <c r="D116" s="1046" t="str">
        <f>IF(A116="——","——",N59)</f>
        <v>——</v>
      </c>
      <c r="E116" s="2186"/>
      <c r="F116" s="2972"/>
      <c r="G116" s="2972"/>
      <c r="H116" s="2973"/>
      <c r="I116" s="2973"/>
      <c r="N116" s="55"/>
      <c r="O116" s="55"/>
    </row>
    <row r="117" spans="1:15" ht="15.75" thickBot="1">
      <c r="A117" s="2970"/>
      <c r="B117" s="2971"/>
      <c r="C117" s="2290" t="s">
        <v>1929</v>
      </c>
      <c r="D117" s="1048" t="str">
        <f ca="1">IF(D116=D112,D113,IF(A116="——","——",N61))</f>
        <v>——</v>
      </c>
      <c r="E117" s="2186"/>
      <c r="F117" s="3014" t="str">
        <f>IF(B32="总价","（以上估价结果中单价为总价除以建筑面积得出）","（以上估价结果中总价为楼面单价乘以建筑面积得出）")</f>
        <v>（以上估价结果中总价为楼面单价乘以建筑面积得出）</v>
      </c>
      <c r="G117" s="3014"/>
      <c r="H117" s="3014"/>
      <c r="I117" s="3014"/>
      <c r="N117" s="55"/>
      <c r="O117" s="55"/>
    </row>
    <row r="118" spans="1:15" ht="15">
      <c r="A118" s="2975" t="s">
        <v>1939</v>
      </c>
      <c r="B118" s="2976"/>
      <c r="C118" s="2976"/>
      <c r="D118" s="2976"/>
      <c r="E118" s="2976"/>
      <c r="F118" s="2976"/>
      <c r="G118" s="2976"/>
      <c r="H118" s="2976"/>
      <c r="I118" s="2976"/>
    </row>
    <row r="119" spans="1:15" ht="14.25">
      <c r="A119" s="2991" t="s">
        <v>1940</v>
      </c>
      <c r="B119" s="2963" t="s">
        <v>1941</v>
      </c>
      <c r="C119" s="2963" t="s">
        <v>1942</v>
      </c>
      <c r="D119" s="2965" t="s">
        <v>1943</v>
      </c>
      <c r="E119" s="2966"/>
      <c r="F119" s="2875" t="s">
        <v>1801</v>
      </c>
      <c r="G119" s="2875"/>
      <c r="H119" s="2875" t="s">
        <v>1944</v>
      </c>
      <c r="I119" s="2967"/>
    </row>
    <row r="120" spans="1:15" ht="14.25">
      <c r="A120" s="2991"/>
      <c r="B120" s="2964"/>
      <c r="C120" s="2964"/>
      <c r="D120" s="1881" t="s">
        <v>1945</v>
      </c>
      <c r="E120" s="1881" t="s">
        <v>1946</v>
      </c>
      <c r="F120" s="1881" t="s">
        <v>1945</v>
      </c>
      <c r="G120" s="1881" t="s">
        <v>1947</v>
      </c>
      <c r="H120" s="1881" t="s">
        <v>1945</v>
      </c>
      <c r="I120" s="637" t="s">
        <v>1947</v>
      </c>
    </row>
    <row r="121" spans="1:15" ht="14.25">
      <c r="A121" s="2172" t="str">
        <f>项目基本情况!I1</f>
        <v>北京市房地产</v>
      </c>
      <c r="B121" s="1881">
        <f>项目基本情况!C12</f>
        <v>261.58999999999997</v>
      </c>
      <c r="C121" s="1881">
        <f>项目基本情况!C13</f>
        <v>0</v>
      </c>
      <c r="D121" s="1881">
        <f ca="1">ROUND(IF(B32="总价",C34,IF('数据-取费表'!B3="万元",E121*B121/10000,E121*B121)),0)</f>
        <v>28772546</v>
      </c>
      <c r="E121" s="1881">
        <f ca="1">ROUND(IF(B32="楼面单价",C34,IF(H19="元",D121/B121,D121*10000/B121)),0)</f>
        <v>109991</v>
      </c>
      <c r="F121" s="1881">
        <f ca="1">ROUND(IF(B32="总价",C35,IF('数据-取费表'!B3="万元",G121*B121/10000,G121*B121)),0)</f>
        <v>2468102</v>
      </c>
      <c r="G121" s="1881">
        <f ca="1">ROUND(IF(B32="楼面单价",C35,IF(H19="元",F121/B121,F121*10000/B121)),0)</f>
        <v>9435</v>
      </c>
      <c r="H121" s="1881">
        <f ca="1">ROUND(IF(B32="总价",C32,IF('数据-取费表'!B3="万元",I121*B121/10000,I121*B121)),0)</f>
        <v>31240647</v>
      </c>
      <c r="I121" s="637">
        <f ca="1">ROUND(IF(B32="楼面单价",C32,IF(H19="元",H121/B121,H121*10000/B121)),0)</f>
        <v>119426</v>
      </c>
    </row>
    <row r="122" spans="1:15" ht="14.25">
      <c r="A122" s="2991" t="s">
        <v>1948</v>
      </c>
      <c r="B122" s="2875"/>
      <c r="C122" s="2875"/>
      <c r="D122" s="3004" t="str">
        <f ca="1">IF(H19="元",NUMBERSTRING(INT(D121),2)&amp;"元整",NUMBERSTRING(INT(D121*10000),2)&amp;"元整")</f>
        <v>贰仟捌佰柒拾柒万贰仟伍佰肆拾陆元整</v>
      </c>
      <c r="E122" s="3005"/>
      <c r="F122" s="3004" t="str">
        <f ca="1">IF(H19="元",NUMBERSTRING(INT(F121),2)&amp;"元整",NUMBERSTRING(INT(F121*10000),2)&amp;"元整")</f>
        <v>贰佰肆拾陆万捌仟壹佰零贰元整</v>
      </c>
      <c r="G122" s="3005"/>
      <c r="H122" s="3004" t="str">
        <f ca="1">IF(H19="元",NUMBERSTRING(INT(H121),2)&amp;"元整",NUMBERSTRING(INT(H121*10000),2)&amp;"元整")</f>
        <v>叁仟壹佰贰拾肆万零陆佰肆拾柒元整</v>
      </c>
      <c r="I122" s="3006"/>
    </row>
    <row r="123" spans="1:15" ht="15">
      <c r="A123" s="3007" t="str">
        <f>IF(项目基本情况!D5="房地产市场价值","——",MID(A108,3,LEN(A108)-2))</f>
        <v>估价师所知悉的法定优先受偿款</v>
      </c>
      <c r="B123" s="3002"/>
      <c r="C123" s="3008"/>
      <c r="D123" s="2994">
        <f>I105</f>
        <v>0</v>
      </c>
      <c r="E123" s="3002"/>
      <c r="F123" s="3002"/>
      <c r="G123" s="3002"/>
      <c r="H123" s="3002"/>
      <c r="I123" s="3003"/>
    </row>
    <row r="124" spans="1:15" ht="14.25">
      <c r="A124" s="2996" t="s">
        <v>1948</v>
      </c>
      <c r="B124" s="2997"/>
      <c r="C124" s="2998"/>
      <c r="D124" s="2999">
        <f>H109</f>
        <v>0</v>
      </c>
      <c r="E124" s="3000"/>
      <c r="F124" s="3000"/>
      <c r="G124" s="3000"/>
      <c r="H124" s="3000"/>
      <c r="I124" s="3001"/>
    </row>
    <row r="125" spans="1:15" ht="15">
      <c r="A125" s="2986" t="str">
        <f>IF(项目基本情况!D5="房地产市场价值","——",MID(A112,3,LEN(A112)-2))</f>
        <v>房地产抵押价值</v>
      </c>
      <c r="B125" s="2987"/>
      <c r="C125" s="2987"/>
      <c r="D125" s="2994">
        <f ca="1">I110</f>
        <v>31240647</v>
      </c>
      <c r="E125" s="3002"/>
      <c r="F125" s="3002"/>
      <c r="G125" s="3002"/>
      <c r="H125" s="3002"/>
      <c r="I125" s="3003"/>
    </row>
    <row r="126" spans="1:15" ht="14.25">
      <c r="A126" s="2991" t="s">
        <v>1948</v>
      </c>
      <c r="B126" s="2875"/>
      <c r="C126" s="2875"/>
      <c r="D126" s="2999">
        <f ca="1">I111</f>
        <v>119426</v>
      </c>
      <c r="E126" s="3000"/>
      <c r="F126" s="3000"/>
      <c r="G126" s="3000"/>
      <c r="H126" s="3000"/>
      <c r="I126" s="3001"/>
    </row>
    <row r="127" spans="1:15" ht="15.75" thickBot="1">
      <c r="A127" s="2986" t="str">
        <f>IF(项目基本情况!D5="房地产市场价值","——",MID(A114,3,LEN(A114)-2))</f>
        <v/>
      </c>
      <c r="B127" s="2987"/>
      <c r="C127" s="2987"/>
      <c r="D127" s="2988" t="str">
        <f>I112</f>
        <v>——</v>
      </c>
      <c r="E127" s="2989"/>
      <c r="F127" s="2989"/>
      <c r="G127" s="2989"/>
      <c r="H127" s="2989"/>
      <c r="I127" s="2990"/>
    </row>
    <row r="128" spans="1:15" ht="15.75" thickTop="1" thickBot="1">
      <c r="A128" s="2991" t="s">
        <v>1948</v>
      </c>
      <c r="B128" s="2875"/>
      <c r="C128" s="2992"/>
      <c r="D128" s="2993" t="str">
        <f>I113</f>
        <v>——</v>
      </c>
      <c r="E128" s="2993"/>
      <c r="F128" s="2993"/>
      <c r="G128" s="2993"/>
      <c r="H128" s="2993"/>
      <c r="I128" s="2993"/>
    </row>
    <row r="129" spans="1:9" ht="16.5" thickTop="1" thickBot="1">
      <c r="A129" s="2986" t="str">
        <f>IF(项目基本情况!D5="房地产市场价值","——",MID(F114,3,LEN(F114)-2))</f>
        <v/>
      </c>
      <c r="B129" s="2987"/>
      <c r="C129" s="2994"/>
      <c r="D129" s="2995" t="str">
        <f>I114</f>
        <v>——</v>
      </c>
      <c r="E129" s="2995"/>
      <c r="F129" s="2995"/>
      <c r="G129" s="2995"/>
      <c r="H129" s="2995"/>
      <c r="I129" s="2995"/>
    </row>
    <row r="130" spans="1:9" ht="15.75" thickTop="1" thickBot="1">
      <c r="A130" s="2977" t="s">
        <v>1948</v>
      </c>
      <c r="B130" s="2978"/>
      <c r="C130" s="2978"/>
      <c r="D130" s="2979">
        <f>H116</f>
        <v>0</v>
      </c>
      <c r="E130" s="2980"/>
      <c r="F130" s="2980"/>
      <c r="G130" s="2980"/>
      <c r="H130" s="2980"/>
      <c r="I130" s="2981"/>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82" t="str">
        <f>IF(B32="总价","（以上估价结果中楼面单价为总价除以建筑面积得出）","（以上估价结果中总价为楼面单价乘以建筑面积得出）")</f>
        <v>（以上估价结果中总价为楼面单价乘以建筑面积得出）</v>
      </c>
      <c r="B132" s="2982"/>
      <c r="C132" s="2982"/>
      <c r="D132" s="2982"/>
      <c r="E132" s="2982"/>
      <c r="F132" s="2982"/>
      <c r="G132" s="2982"/>
      <c r="H132" s="2982"/>
      <c r="I132" s="2982"/>
    </row>
    <row r="133" spans="1:9" ht="21.75" customHeight="1">
      <c r="A133" s="2291" t="s">
        <v>1949</v>
      </c>
      <c r="B133" s="2292"/>
      <c r="C133" s="2293" t="s">
        <v>1950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1951</v>
      </c>
      <c r="G139" s="2305"/>
      <c r="H139" s="2305"/>
      <c r="I139" s="2306" t="s">
        <v>1952</v>
      </c>
    </row>
    <row r="140" spans="1:9" ht="21.75" customHeight="1">
      <c r="A140" s="797"/>
      <c r="B140" s="2307"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1954</v>
      </c>
    </row>
    <row r="143" spans="1:9" ht="21.75" customHeight="1">
      <c r="A143" s="797"/>
      <c r="B143" s="2307" t="s">
        <v>1955</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1954</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2291</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2292</v>
      </c>
      <c r="B2" s="334">
        <f ca="1">B23</f>
        <v>17679825</v>
      </c>
      <c r="C2" s="1178" t="str">
        <f>C23</f>
        <v>元</v>
      </c>
      <c r="D2" s="84"/>
      <c r="E2" s="84"/>
      <c r="F2" s="84"/>
      <c r="G2" s="84"/>
      <c r="H2" s="84"/>
      <c r="I2" s="84"/>
      <c r="J2" s="84"/>
      <c r="K2" s="84"/>
      <c r="L2" s="84"/>
      <c r="M2" s="84"/>
      <c r="N2" s="84"/>
      <c r="O2" s="84"/>
      <c r="P2" s="84"/>
      <c r="Q2" s="84"/>
      <c r="R2" s="768"/>
      <c r="S2" s="54"/>
      <c r="T2" s="54"/>
      <c r="U2" s="1307"/>
      <c r="V2" s="1307"/>
      <c r="X2" s="1307"/>
      <c r="Y2" s="1307"/>
    </row>
    <row r="3" spans="1:44" ht="15.75">
      <c r="A3" s="167" t="s">
        <v>2293</v>
      </c>
      <c r="B3" s="334">
        <f ca="1">B24</f>
        <v>119426</v>
      </c>
      <c r="C3" s="1178" t="s">
        <v>2294</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2295</v>
      </c>
      <c r="C4" s="3018" t="s">
        <v>2296</v>
      </c>
      <c r="D4" s="3019"/>
      <c r="E4" s="3019"/>
      <c r="F4" s="3019"/>
      <c r="G4" s="3019"/>
      <c r="H4" s="3019"/>
      <c r="I4" s="3019"/>
      <c r="J4" s="3019"/>
      <c r="K4" s="3019"/>
      <c r="L4" s="3019"/>
      <c r="M4" s="3019"/>
      <c r="N4" s="3019"/>
      <c r="O4" s="3019"/>
      <c r="P4" s="3019"/>
      <c r="Q4" s="3019"/>
      <c r="R4" s="3019"/>
      <c r="S4" s="3020"/>
      <c r="T4" s="678" t="s">
        <v>2297</v>
      </c>
      <c r="U4" s="1307"/>
      <c r="V4" s="1307"/>
      <c r="X4" s="1307"/>
      <c r="Y4" s="1307"/>
    </row>
    <row r="5" spans="1:44" s="692" customFormat="1" ht="38.25">
      <c r="A5" s="1317"/>
      <c r="B5" s="687" t="s">
        <v>2298</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300</v>
      </c>
      <c r="E6" s="579">
        <v>500</v>
      </c>
      <c r="F6" s="579">
        <v>800</v>
      </c>
      <c r="G6" s="579">
        <v>1500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9"/>
      <c r="B7" s="1158"/>
      <c r="C7" s="544">
        <v>98</v>
      </c>
      <c r="D7" s="518">
        <v>100</v>
      </c>
      <c r="E7" s="518">
        <v>98</v>
      </c>
      <c r="F7" s="518">
        <v>96</v>
      </c>
      <c r="G7" s="518">
        <v>94</v>
      </c>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0"/>
      <c r="B8" s="1171" t="s">
        <v>2299</v>
      </c>
      <c r="C8" s="2764" t="s">
        <v>2874</v>
      </c>
      <c r="D8" s="2764" t="s">
        <v>2875</v>
      </c>
      <c r="E8" s="2764" t="s">
        <v>2876</v>
      </c>
      <c r="F8" s="2766" t="s">
        <v>2877</v>
      </c>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20"/>
      <c r="B10" s="1152" t="s">
        <v>2300</v>
      </c>
      <c r="C10" s="2764" t="s">
        <v>2858</v>
      </c>
      <c r="D10" s="2764" t="s">
        <v>2859</v>
      </c>
      <c r="E10" s="2764" t="s">
        <v>2860</v>
      </c>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2301</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2302</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2303</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2304</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2305</v>
      </c>
      <c r="B20" s="2361" t="s">
        <v>2306</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2" t="s">
        <v>2307</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2308</v>
      </c>
      <c r="B23" s="308">
        <f ca="1">IF(F23="——",IF(C23="万元",T25,S25),IF(C23="万元",T25-H23,S25-H23))</f>
        <v>17679825</v>
      </c>
      <c r="C23" s="2363" t="str">
        <f>'数据-取费表'!B3</f>
        <v>元</v>
      </c>
      <c r="D23" s="84"/>
      <c r="E23" s="84"/>
      <c r="F23" s="2364" t="s">
        <v>1247</v>
      </c>
      <c r="G23" s="1874"/>
      <c r="H23" s="678" t="e">
        <f ca="1">SUMIF(INDIRECT("'"&amp;J23&amp;"'"&amp;"!A:A"),"承租人权益价值",INDIRECT("'"&amp;J23&amp;"'"&amp;"!c:c"))</f>
        <v>#REF!</v>
      </c>
      <c r="I23" s="678" t="str">
        <f>C2</f>
        <v>元</v>
      </c>
      <c r="J23" s="2365"/>
      <c r="K23" s="84"/>
      <c r="L23" s="84"/>
      <c r="M23" s="84"/>
      <c r="N23" s="84"/>
      <c r="O23" s="84"/>
      <c r="P23" s="84"/>
      <c r="Q23" s="84"/>
      <c r="R23" s="768"/>
      <c r="S23" s="54"/>
      <c r="T23" s="54"/>
      <c r="V23" s="1308"/>
      <c r="W23" s="800"/>
      <c r="X23" s="36"/>
      <c r="Y23" s="36"/>
      <c r="Z23" s="800"/>
    </row>
    <row r="24" spans="1:45" ht="15.75">
      <c r="A24" s="2363" t="s">
        <v>2309</v>
      </c>
      <c r="B24" s="308">
        <f ca="1">R25</f>
        <v>119426</v>
      </c>
      <c r="C24" s="1139"/>
      <c r="D24" s="84"/>
      <c r="E24" s="84"/>
      <c r="F24" s="84"/>
      <c r="G24" s="84"/>
      <c r="H24" s="84"/>
      <c r="I24" s="84"/>
      <c r="J24" s="84"/>
      <c r="K24" s="84"/>
      <c r="L24" s="84"/>
      <c r="M24" s="84"/>
      <c r="N24" s="84"/>
      <c r="O24" s="84"/>
      <c r="P24" s="84"/>
      <c r="Q24" s="84"/>
      <c r="R24" s="768"/>
      <c r="S24" s="14" t="s">
        <v>2310</v>
      </c>
      <c r="T24" s="1891" t="s">
        <v>2311</v>
      </c>
      <c r="U24" s="2366" t="s">
        <v>2312</v>
      </c>
      <c r="V24" s="1337"/>
      <c r="W24" s="2367" t="s">
        <v>2313</v>
      </c>
      <c r="X24" s="2366" t="s">
        <v>2314</v>
      </c>
      <c r="Y24" s="1337"/>
      <c r="Z24" s="2368" t="s">
        <v>2313</v>
      </c>
    </row>
    <row r="25" spans="1:45">
      <c r="A25" s="334" t="s">
        <v>2315</v>
      </c>
      <c r="B25" s="14">
        <f>SUM(B27:B10000)</f>
        <v>148.04</v>
      </c>
      <c r="C25" s="3015" t="s">
        <v>45</v>
      </c>
      <c r="D25" s="3016"/>
      <c r="E25" s="3016"/>
      <c r="F25" s="3016"/>
      <c r="G25" s="3016"/>
      <c r="H25" s="3016"/>
      <c r="I25" s="3016"/>
      <c r="J25" s="3016"/>
      <c r="K25" s="3016"/>
      <c r="L25" s="3016"/>
      <c r="M25" s="3016"/>
      <c r="N25" s="3016"/>
      <c r="O25" s="3016"/>
      <c r="P25" s="3016"/>
      <c r="Q25" s="3017"/>
      <c r="R25" s="702">
        <f ca="1">IF(C23="万元",ROUND(T25*10000/B25,0),ROUND(S25/B25,0))</f>
        <v>119426</v>
      </c>
      <c r="S25" s="14">
        <f ca="1">SUM(S27:S10000)</f>
        <v>17679825</v>
      </c>
      <c r="T25" s="14">
        <f ca="1">SUM(T27:T10000)</f>
        <v>1768</v>
      </c>
      <c r="U25" s="19">
        <f>SUM(U27:U10000)</f>
        <v>0</v>
      </c>
      <c r="V25" s="19">
        <f>SUM(V27:V10000)</f>
        <v>0</v>
      </c>
      <c r="W25" s="14"/>
      <c r="X25" s="19">
        <f>SUM(X27:X10000)</f>
        <v>0</v>
      </c>
      <c r="Y25" s="19">
        <f>SUM(Y27:Y10000)</f>
        <v>0</v>
      </c>
      <c r="Z25" s="2369"/>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7" t="s">
        <v>2321</v>
      </c>
      <c r="V26" s="2370" t="s">
        <v>2322</v>
      </c>
      <c r="W26" s="2371" t="s">
        <v>2323</v>
      </c>
      <c r="X26" s="1877" t="s">
        <v>2321</v>
      </c>
      <c r="Y26" s="2370" t="s">
        <v>2322</v>
      </c>
      <c r="Z26" s="2371"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t="s">
        <v>2899</v>
      </c>
      <c r="E27" s="705">
        <v>1</v>
      </c>
      <c r="F27" s="706" t="s">
        <v>2852</v>
      </c>
      <c r="G27" s="705">
        <v>1</v>
      </c>
      <c r="H27" s="706"/>
      <c r="I27" s="705">
        <v>1</v>
      </c>
      <c r="J27" s="706"/>
      <c r="K27" s="705">
        <v>1</v>
      </c>
      <c r="L27" s="706"/>
      <c r="M27" s="705">
        <v>1</v>
      </c>
      <c r="N27" s="706"/>
      <c r="O27" s="705">
        <v>1</v>
      </c>
      <c r="P27" s="706"/>
      <c r="Q27" s="705">
        <v>1</v>
      </c>
      <c r="R27" s="1187">
        <f ca="1">结果表!G20</f>
        <v>119426</v>
      </c>
      <c r="S27" s="705">
        <f ca="1">ROUND(R27*B27,0)</f>
        <v>0</v>
      </c>
      <c r="T27" s="705">
        <f ca="1">ROUND(R27*B27/10000,0)</f>
        <v>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2899</v>
      </c>
      <c r="E28" s="14">
        <f t="shared" ref="E28:E91" si="15">(SUMIF($8:$8,D28,$9:$9)-SUMIF($8:$8,$D$27,$9:$9)+100)/100</f>
        <v>1</v>
      </c>
      <c r="F28" s="706" t="s">
        <v>2852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119426</v>
      </c>
      <c r="S28" s="334">
        <f ca="1">ROUND(R28*B28,0)</f>
        <v>17679825</v>
      </c>
      <c r="T28" s="1177">
        <f ca="1">ROUND(R28*B28/10000,0)</f>
        <v>1768</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6"/>
      <c r="E29" s="14">
        <f t="shared" si="15"/>
        <v>0</v>
      </c>
      <c r="F29" s="706"/>
      <c r="G29" s="14">
        <f t="shared" si="16"/>
        <v>0</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6"/>
      <c r="E30" s="14">
        <f t="shared" si="15"/>
        <v>0</v>
      </c>
      <c r="F30" s="706"/>
      <c r="G30" s="14">
        <f t="shared" si="16"/>
        <v>0</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6"/>
      <c r="E31" s="14">
        <f t="shared" si="15"/>
        <v>0</v>
      </c>
      <c r="F31" s="706"/>
      <c r="G31" s="14">
        <f t="shared" si="16"/>
        <v>0</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6"/>
      <c r="E32" s="14">
        <f t="shared" si="15"/>
        <v>0</v>
      </c>
      <c r="F32" s="706"/>
      <c r="G32" s="14">
        <f t="shared" si="16"/>
        <v>0</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6"/>
      <c r="E33" s="14">
        <f t="shared" si="15"/>
        <v>0</v>
      </c>
      <c r="F33" s="706"/>
      <c r="G33" s="14">
        <f t="shared" si="16"/>
        <v>0</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0</v>
      </c>
      <c r="F34" s="706"/>
      <c r="G34" s="14">
        <f t="shared" si="16"/>
        <v>0</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0</v>
      </c>
      <c r="F35" s="706"/>
      <c r="G35" s="14">
        <f t="shared" si="16"/>
        <v>0</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0</v>
      </c>
      <c r="F36" s="706"/>
      <c r="G36" s="14">
        <f t="shared" si="16"/>
        <v>0</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v>
      </c>
      <c r="F37" s="706"/>
      <c r="G37" s="14">
        <f t="shared" si="16"/>
        <v>0</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v>
      </c>
      <c r="F38" s="706"/>
      <c r="G38" s="14">
        <f t="shared" si="16"/>
        <v>0</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v>
      </c>
      <c r="F39" s="706"/>
      <c r="G39" s="14">
        <f t="shared" si="16"/>
        <v>0</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v>
      </c>
      <c r="F40" s="706"/>
      <c r="G40" s="14">
        <f t="shared" si="16"/>
        <v>0</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v>
      </c>
      <c r="F41" s="706"/>
      <c r="G41" s="14">
        <f t="shared" si="16"/>
        <v>0</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v>
      </c>
      <c r="F42" s="706"/>
      <c r="G42" s="14">
        <f t="shared" si="16"/>
        <v>0</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v>
      </c>
      <c r="F43" s="706"/>
      <c r="G43" s="14">
        <f t="shared" si="16"/>
        <v>0</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v>
      </c>
      <c r="F44" s="706"/>
      <c r="G44" s="14">
        <f t="shared" si="16"/>
        <v>0</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v>
      </c>
      <c r="F45" s="706"/>
      <c r="G45" s="14">
        <f t="shared" si="16"/>
        <v>0</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v>
      </c>
      <c r="F46" s="706"/>
      <c r="G46" s="14">
        <f t="shared" si="16"/>
        <v>0</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v>
      </c>
      <c r="F47" s="706"/>
      <c r="G47" s="14">
        <f t="shared" si="16"/>
        <v>0</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v>
      </c>
      <c r="F48" s="706"/>
      <c r="G48" s="14">
        <f t="shared" si="16"/>
        <v>0</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v>
      </c>
      <c r="F49" s="706"/>
      <c r="G49" s="14">
        <f t="shared" si="16"/>
        <v>0</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v>
      </c>
      <c r="F50" s="706"/>
      <c r="G50" s="14">
        <f t="shared" si="16"/>
        <v>0</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v>
      </c>
      <c r="F51" s="706"/>
      <c r="G51" s="14">
        <f t="shared" si="16"/>
        <v>0</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v>
      </c>
      <c r="F52" s="706"/>
      <c r="G52" s="14">
        <f t="shared" si="16"/>
        <v>0</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v>
      </c>
      <c r="F53" s="706"/>
      <c r="G53" s="14">
        <f t="shared" si="16"/>
        <v>0</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v>
      </c>
      <c r="F54" s="706"/>
      <c r="G54" s="14">
        <f t="shared" si="16"/>
        <v>0</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v>
      </c>
      <c r="F55" s="706"/>
      <c r="G55" s="14">
        <f t="shared" si="16"/>
        <v>0</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v>
      </c>
      <c r="F56" s="706"/>
      <c r="G56" s="14">
        <f t="shared" si="16"/>
        <v>0</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v>
      </c>
      <c r="F57" s="706"/>
      <c r="G57" s="14">
        <f t="shared" si="16"/>
        <v>0</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v>
      </c>
      <c r="F58" s="706"/>
      <c r="G58" s="14">
        <f t="shared" si="16"/>
        <v>0</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v>
      </c>
      <c r="F59" s="706"/>
      <c r="G59" s="14">
        <f t="shared" si="16"/>
        <v>0</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v>
      </c>
      <c r="F60" s="706"/>
      <c r="G60" s="14">
        <f t="shared" si="16"/>
        <v>0</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v>
      </c>
      <c r="F61" s="706"/>
      <c r="G61" s="14">
        <f t="shared" si="16"/>
        <v>0</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v>
      </c>
      <c r="F62" s="706"/>
      <c r="G62" s="14">
        <f t="shared" si="16"/>
        <v>0</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v>
      </c>
      <c r="F63" s="706"/>
      <c r="G63" s="14">
        <f t="shared" si="16"/>
        <v>0</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v>
      </c>
      <c r="F64" s="706"/>
      <c r="G64" s="14">
        <f t="shared" si="16"/>
        <v>0</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v>
      </c>
      <c r="F65" s="706"/>
      <c r="G65" s="14">
        <f t="shared" si="16"/>
        <v>0</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v>
      </c>
      <c r="F66" s="706"/>
      <c r="G66" s="14">
        <f t="shared" si="16"/>
        <v>0</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v>
      </c>
      <c r="F67" s="706"/>
      <c r="G67" s="14">
        <f t="shared" si="16"/>
        <v>0</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v>
      </c>
      <c r="F68" s="706"/>
      <c r="G68" s="14">
        <f t="shared" si="16"/>
        <v>0</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v>
      </c>
      <c r="F69" s="706"/>
      <c r="G69" s="14">
        <f t="shared" si="16"/>
        <v>0</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v>
      </c>
      <c r="F70" s="706"/>
      <c r="G70" s="14">
        <f t="shared" si="16"/>
        <v>0</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v>
      </c>
      <c r="F71" s="706"/>
      <c r="G71" s="14">
        <f t="shared" si="16"/>
        <v>0</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v>
      </c>
      <c r="F72" s="706"/>
      <c r="G72" s="14">
        <f t="shared" si="16"/>
        <v>0</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v>
      </c>
      <c r="F73" s="706"/>
      <c r="G73" s="14">
        <f t="shared" si="16"/>
        <v>0</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v>
      </c>
      <c r="F74" s="706"/>
      <c r="G74" s="14">
        <f t="shared" si="16"/>
        <v>0</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v>
      </c>
      <c r="F75" s="706"/>
      <c r="G75" s="14">
        <f t="shared" si="16"/>
        <v>0</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v>
      </c>
      <c r="F76" s="706"/>
      <c r="G76" s="14">
        <f t="shared" si="16"/>
        <v>0</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v>
      </c>
      <c r="F77" s="706"/>
      <c r="G77" s="14">
        <f t="shared" si="16"/>
        <v>0</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v>
      </c>
      <c r="F78" s="706"/>
      <c r="G78" s="14">
        <f t="shared" si="16"/>
        <v>0</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v>
      </c>
      <c r="F79" s="706"/>
      <c r="G79" s="14">
        <f t="shared" si="16"/>
        <v>0</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v>
      </c>
      <c r="F80" s="706"/>
      <c r="G80" s="14">
        <f t="shared" si="16"/>
        <v>0</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v>
      </c>
      <c r="F81" s="706"/>
      <c r="G81" s="14">
        <f t="shared" si="16"/>
        <v>0</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v>
      </c>
      <c r="F82" s="706"/>
      <c r="G82" s="14">
        <f t="shared" si="16"/>
        <v>0</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v>
      </c>
      <c r="F83" s="706"/>
      <c r="G83" s="14">
        <f t="shared" si="16"/>
        <v>0</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v>
      </c>
      <c r="F84" s="706"/>
      <c r="G84" s="14">
        <f t="shared" si="16"/>
        <v>0</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v>
      </c>
      <c r="F85" s="706"/>
      <c r="G85" s="14">
        <f t="shared" si="16"/>
        <v>0</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v>
      </c>
      <c r="F86" s="706"/>
      <c r="G86" s="14">
        <f t="shared" si="16"/>
        <v>0</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v>
      </c>
      <c r="F87" s="706"/>
      <c r="G87" s="14">
        <f t="shared" si="16"/>
        <v>0</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v>
      </c>
      <c r="F88" s="706"/>
      <c r="G88" s="14">
        <f t="shared" si="16"/>
        <v>0</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v>
      </c>
      <c r="F89" s="706"/>
      <c r="G89" s="14">
        <f t="shared" si="16"/>
        <v>0</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v>
      </c>
      <c r="F90" s="706"/>
      <c r="G90" s="14">
        <f t="shared" si="16"/>
        <v>0</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v>
      </c>
      <c r="F91" s="706"/>
      <c r="G91" s="14">
        <f t="shared" si="16"/>
        <v>0</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v>
      </c>
      <c r="F93" s="706"/>
      <c r="G93" s="14">
        <f t="shared" si="31"/>
        <v>0</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v>
      </c>
      <c r="F94" s="706"/>
      <c r="G94" s="14">
        <f t="shared" si="31"/>
        <v>0</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v>
      </c>
      <c r="F95" s="706"/>
      <c r="G95" s="14">
        <f t="shared" si="31"/>
        <v>0</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v>
      </c>
      <c r="F96" s="706"/>
      <c r="G96" s="14">
        <f t="shared" si="31"/>
        <v>0</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v>
      </c>
      <c r="F97" s="706"/>
      <c r="G97" s="14">
        <f t="shared" si="31"/>
        <v>0</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v>
      </c>
      <c r="F98" s="706"/>
      <c r="G98" s="14">
        <f t="shared" si="31"/>
        <v>0</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v>
      </c>
      <c r="F99" s="706"/>
      <c r="G99" s="14">
        <f t="shared" si="31"/>
        <v>0</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v>
      </c>
      <c r="F100" s="706"/>
      <c r="G100" s="14">
        <f t="shared" si="31"/>
        <v>0</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v>
      </c>
      <c r="F101" s="706"/>
      <c r="G101" s="14">
        <f t="shared" si="31"/>
        <v>0</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v>
      </c>
      <c r="F102" s="706"/>
      <c r="G102" s="14">
        <f t="shared" si="31"/>
        <v>0</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v>
      </c>
      <c r="F103" s="706"/>
      <c r="G103" s="14">
        <f t="shared" si="31"/>
        <v>0</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v>
      </c>
      <c r="F104" s="706"/>
      <c r="G104" s="14">
        <f t="shared" si="31"/>
        <v>0</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v>
      </c>
      <c r="F105" s="706"/>
      <c r="G105" s="14">
        <f t="shared" si="31"/>
        <v>0</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v>
      </c>
      <c r="F106" s="706"/>
      <c r="G106" s="14">
        <f t="shared" si="31"/>
        <v>0</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v>
      </c>
      <c r="F107" s="706"/>
      <c r="G107" s="14">
        <f t="shared" si="31"/>
        <v>0</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v>
      </c>
      <c r="F108" s="706"/>
      <c r="G108" s="14">
        <f t="shared" si="31"/>
        <v>0</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v>
      </c>
      <c r="F109" s="706"/>
      <c r="G109" s="14">
        <f t="shared" si="31"/>
        <v>0</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v>
      </c>
      <c r="F110" s="706"/>
      <c r="G110" s="14">
        <f t="shared" si="31"/>
        <v>0</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v>
      </c>
      <c r="F111" s="706"/>
      <c r="G111" s="14">
        <f t="shared" si="31"/>
        <v>0</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v>
      </c>
      <c r="F112" s="706"/>
      <c r="G112" s="14">
        <f t="shared" si="31"/>
        <v>0</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v>
      </c>
      <c r="F113" s="706"/>
      <c r="G113" s="14">
        <f t="shared" si="31"/>
        <v>0</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v>
      </c>
      <c r="F114" s="706"/>
      <c r="G114" s="14">
        <f t="shared" si="31"/>
        <v>0</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v>
      </c>
      <c r="F115" s="706"/>
      <c r="G115" s="14">
        <f t="shared" si="31"/>
        <v>0</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v>
      </c>
      <c r="F116" s="706"/>
      <c r="G116" s="14">
        <f t="shared" si="31"/>
        <v>0</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v>
      </c>
      <c r="F117" s="706"/>
      <c r="G117" s="14">
        <f t="shared" si="31"/>
        <v>0</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v>
      </c>
      <c r="F118" s="706"/>
      <c r="G118" s="14">
        <f t="shared" si="31"/>
        <v>0</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v>
      </c>
      <c r="F119" s="706"/>
      <c r="G119" s="14">
        <f t="shared" si="31"/>
        <v>0</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v>
      </c>
      <c r="F120" s="706"/>
      <c r="G120" s="14">
        <f t="shared" si="31"/>
        <v>0</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v>
      </c>
      <c r="F121" s="706"/>
      <c r="G121" s="14">
        <f t="shared" si="31"/>
        <v>0</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v>
      </c>
      <c r="F122" s="706"/>
      <c r="G122" s="14">
        <f t="shared" si="31"/>
        <v>0</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v>
      </c>
      <c r="F123" s="706"/>
      <c r="G123" s="14">
        <f t="shared" si="31"/>
        <v>0</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v>
      </c>
      <c r="F124" s="706"/>
      <c r="G124" s="14">
        <f t="shared" si="31"/>
        <v>0</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v>
      </c>
      <c r="F125" s="706"/>
      <c r="G125" s="14">
        <f t="shared" si="31"/>
        <v>0</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v>
      </c>
      <c r="F126" s="706"/>
      <c r="G126" s="14">
        <f t="shared" si="31"/>
        <v>0</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v>
      </c>
      <c r="F127" s="706"/>
      <c r="G127" s="14">
        <f t="shared" si="31"/>
        <v>0</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v>
      </c>
      <c r="F128" s="706"/>
      <c r="G128" s="14">
        <f t="shared" si="31"/>
        <v>0</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v>
      </c>
      <c r="F129" s="706"/>
      <c r="G129" s="14">
        <f t="shared" si="31"/>
        <v>0</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v>
      </c>
      <c r="F130" s="706"/>
      <c r="G130" s="14">
        <f t="shared" si="31"/>
        <v>0</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v>
      </c>
      <c r="F131" s="706"/>
      <c r="G131" s="14">
        <f t="shared" si="31"/>
        <v>0</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v>
      </c>
      <c r="F132" s="706"/>
      <c r="G132" s="14">
        <f t="shared" si="31"/>
        <v>0</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v>
      </c>
      <c r="F133" s="706"/>
      <c r="G133" s="14">
        <f t="shared" si="31"/>
        <v>0</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v>
      </c>
      <c r="F134" s="706"/>
      <c r="G134" s="14">
        <f t="shared" si="31"/>
        <v>0</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v>
      </c>
      <c r="F135" s="706"/>
      <c r="G135" s="14">
        <f t="shared" si="31"/>
        <v>0</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v>
      </c>
      <c r="F136" s="706"/>
      <c r="G136" s="14">
        <f t="shared" si="31"/>
        <v>0</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v>
      </c>
      <c r="F137" s="706"/>
      <c r="G137" s="14">
        <f t="shared" si="31"/>
        <v>0</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v>
      </c>
      <c r="F138" s="706"/>
      <c r="G138" s="14">
        <f t="shared" si="31"/>
        <v>0</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v>
      </c>
      <c r="F139" s="706"/>
      <c r="G139" s="14">
        <f t="shared" si="31"/>
        <v>0</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v>
      </c>
      <c r="F140" s="706"/>
      <c r="G140" s="14">
        <f t="shared" si="31"/>
        <v>0</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v>
      </c>
      <c r="F141" s="706"/>
      <c r="G141" s="14">
        <f t="shared" si="31"/>
        <v>0</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v>
      </c>
      <c r="F142" s="706"/>
      <c r="G142" s="14">
        <f t="shared" si="31"/>
        <v>0</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v>
      </c>
      <c r="F143" s="706"/>
      <c r="G143" s="14">
        <f t="shared" si="31"/>
        <v>0</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v>
      </c>
      <c r="F144" s="706"/>
      <c r="G144" s="14">
        <f t="shared" si="31"/>
        <v>0</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v>
      </c>
      <c r="F145" s="706"/>
      <c r="G145" s="14">
        <f t="shared" si="31"/>
        <v>0</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v>
      </c>
      <c r="F146" s="706"/>
      <c r="G146" s="14">
        <f t="shared" si="31"/>
        <v>0</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v>
      </c>
      <c r="F147" s="706"/>
      <c r="G147" s="14">
        <f t="shared" si="31"/>
        <v>0</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v>
      </c>
      <c r="F148" s="706"/>
      <c r="G148" s="14">
        <f t="shared" si="31"/>
        <v>0</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v>
      </c>
      <c r="F149" s="706"/>
      <c r="G149" s="14">
        <f t="shared" si="31"/>
        <v>0</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v>
      </c>
      <c r="F150" s="706"/>
      <c r="G150" s="14">
        <f t="shared" si="31"/>
        <v>0</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v>
      </c>
      <c r="F151" s="706"/>
      <c r="G151" s="14">
        <f t="shared" si="31"/>
        <v>0</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v>
      </c>
      <c r="F152" s="706"/>
      <c r="G152" s="14">
        <f t="shared" si="31"/>
        <v>0</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v>
      </c>
      <c r="F153" s="706"/>
      <c r="G153" s="14">
        <f t="shared" si="31"/>
        <v>0</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v>
      </c>
      <c r="F154" s="706"/>
      <c r="G154" s="14">
        <f t="shared" si="31"/>
        <v>0</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v>
      </c>
      <c r="F155" s="706"/>
      <c r="G155" s="14">
        <f t="shared" si="31"/>
        <v>0</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v>
      </c>
      <c r="F157" s="706"/>
      <c r="G157" s="14">
        <f t="shared" si="46"/>
        <v>0</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v>
      </c>
      <c r="F158" s="706"/>
      <c r="G158" s="14">
        <f t="shared" si="46"/>
        <v>0</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v>
      </c>
      <c r="F159" s="706"/>
      <c r="G159" s="14">
        <f t="shared" si="46"/>
        <v>0</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v>
      </c>
      <c r="F160" s="706"/>
      <c r="G160" s="14">
        <f t="shared" si="46"/>
        <v>0</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v>
      </c>
      <c r="F161" s="706"/>
      <c r="G161" s="14">
        <f t="shared" si="46"/>
        <v>0</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v>
      </c>
      <c r="F162" s="706"/>
      <c r="G162" s="14">
        <f t="shared" si="46"/>
        <v>0</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v>
      </c>
      <c r="F163" s="706"/>
      <c r="G163" s="14">
        <f t="shared" si="46"/>
        <v>0</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v>
      </c>
      <c r="F164" s="706"/>
      <c r="G164" s="14">
        <f t="shared" si="46"/>
        <v>0</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v>
      </c>
      <c r="F165" s="706"/>
      <c r="G165" s="14">
        <f t="shared" si="46"/>
        <v>0</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v>
      </c>
      <c r="F166" s="706"/>
      <c r="G166" s="14">
        <f t="shared" si="46"/>
        <v>0</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v>
      </c>
      <c r="F167" s="706"/>
      <c r="G167" s="14">
        <f t="shared" si="46"/>
        <v>0</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v>
      </c>
      <c r="F168" s="706"/>
      <c r="G168" s="14">
        <f t="shared" si="46"/>
        <v>0</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v>
      </c>
      <c r="F169" s="706"/>
      <c r="G169" s="14">
        <f t="shared" si="46"/>
        <v>0</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v>
      </c>
      <c r="F170" s="706"/>
      <c r="G170" s="14">
        <f t="shared" si="46"/>
        <v>0</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v>
      </c>
      <c r="F171" s="706"/>
      <c r="G171" s="14">
        <f t="shared" si="46"/>
        <v>0</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v>
      </c>
      <c r="F172" s="706"/>
      <c r="G172" s="14">
        <f t="shared" si="46"/>
        <v>0</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v>
      </c>
      <c r="F173" s="706"/>
      <c r="G173" s="14">
        <f t="shared" si="46"/>
        <v>0</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v>
      </c>
      <c r="F174" s="706"/>
      <c r="G174" s="14">
        <f t="shared" si="46"/>
        <v>0</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v>
      </c>
      <c r="F175" s="706"/>
      <c r="G175" s="14">
        <f t="shared" si="46"/>
        <v>0</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v>
      </c>
      <c r="F176" s="706"/>
      <c r="G176" s="14">
        <f t="shared" si="46"/>
        <v>0</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v>
      </c>
      <c r="F177" s="706"/>
      <c r="G177" s="14">
        <f t="shared" si="46"/>
        <v>0</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v>
      </c>
      <c r="F178" s="706"/>
      <c r="G178" s="14">
        <f t="shared" si="46"/>
        <v>0</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v>
      </c>
      <c r="F179" s="706"/>
      <c r="G179" s="14">
        <f t="shared" si="46"/>
        <v>0</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v>
      </c>
      <c r="F180" s="706"/>
      <c r="G180" s="14">
        <f t="shared" si="46"/>
        <v>0</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v>
      </c>
      <c r="F181" s="706"/>
      <c r="G181" s="14">
        <f t="shared" si="46"/>
        <v>0</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v>
      </c>
      <c r="F182" s="706"/>
      <c r="G182" s="14">
        <f t="shared" si="46"/>
        <v>0</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v>
      </c>
      <c r="F183" s="706"/>
      <c r="G183" s="14">
        <f t="shared" si="46"/>
        <v>0</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v>
      </c>
      <c r="F184" s="706"/>
      <c r="G184" s="14">
        <f t="shared" si="46"/>
        <v>0</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v>
      </c>
      <c r="F185" s="706"/>
      <c r="G185" s="14">
        <f t="shared" si="46"/>
        <v>0</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v>
      </c>
      <c r="F186" s="706"/>
      <c r="G186" s="14">
        <f t="shared" si="46"/>
        <v>0</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v>
      </c>
      <c r="F187" s="706"/>
      <c r="G187" s="14">
        <f t="shared" si="46"/>
        <v>0</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v>
      </c>
      <c r="F188" s="706"/>
      <c r="G188" s="14">
        <f t="shared" si="46"/>
        <v>0</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v>
      </c>
      <c r="F189" s="706"/>
      <c r="G189" s="14">
        <f t="shared" si="46"/>
        <v>0</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v>
      </c>
      <c r="F190" s="706"/>
      <c r="G190" s="14">
        <f t="shared" si="46"/>
        <v>0</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v>
      </c>
      <c r="F191" s="706"/>
      <c r="G191" s="14">
        <f t="shared" si="46"/>
        <v>0</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v>
      </c>
      <c r="F192" s="706"/>
      <c r="G192" s="14">
        <f t="shared" si="46"/>
        <v>0</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v>
      </c>
      <c r="F193" s="706"/>
      <c r="G193" s="14">
        <f t="shared" si="46"/>
        <v>0</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v>
      </c>
      <c r="F194" s="706"/>
      <c r="G194" s="14">
        <f t="shared" si="46"/>
        <v>0</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v>
      </c>
      <c r="F195" s="706"/>
      <c r="G195" s="14">
        <f t="shared" si="46"/>
        <v>0</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v>
      </c>
      <c r="F196" s="706"/>
      <c r="G196" s="14">
        <f t="shared" si="46"/>
        <v>0</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v>
      </c>
      <c r="F197" s="706"/>
      <c r="G197" s="14">
        <f t="shared" si="46"/>
        <v>0</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v>
      </c>
      <c r="F198" s="706"/>
      <c r="G198" s="14">
        <f t="shared" si="46"/>
        <v>0</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v>
      </c>
      <c r="F199" s="706"/>
      <c r="G199" s="14">
        <f t="shared" si="46"/>
        <v>0</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v>
      </c>
      <c r="F200" s="706"/>
      <c r="G200" s="14">
        <f t="shared" si="46"/>
        <v>0</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v>
      </c>
      <c r="F201" s="706"/>
      <c r="G201" s="14">
        <f t="shared" si="46"/>
        <v>0</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v>
      </c>
      <c r="F202" s="706"/>
      <c r="G202" s="14">
        <f t="shared" si="46"/>
        <v>0</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v>
      </c>
      <c r="F203" s="706"/>
      <c r="G203" s="14">
        <f t="shared" si="46"/>
        <v>0</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v>
      </c>
      <c r="F204" s="706"/>
      <c r="G204" s="14">
        <f t="shared" si="46"/>
        <v>0</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v>
      </c>
      <c r="F205" s="706"/>
      <c r="G205" s="14">
        <f t="shared" si="46"/>
        <v>0</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v>
      </c>
      <c r="F206" s="706"/>
      <c r="G206" s="14">
        <f t="shared" si="46"/>
        <v>0</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v>
      </c>
      <c r="F207" s="706"/>
      <c r="G207" s="14">
        <f t="shared" si="46"/>
        <v>0</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v>
      </c>
      <c r="F208" s="706"/>
      <c r="G208" s="14">
        <f t="shared" si="46"/>
        <v>0</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v>
      </c>
      <c r="F209" s="706"/>
      <c r="G209" s="14">
        <f t="shared" si="46"/>
        <v>0</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v>
      </c>
      <c r="F210" s="706"/>
      <c r="G210" s="14">
        <f t="shared" si="46"/>
        <v>0</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v>
      </c>
      <c r="F211" s="706"/>
      <c r="G211" s="14">
        <f t="shared" si="46"/>
        <v>0</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v>
      </c>
      <c r="F212" s="706"/>
      <c r="G212" s="14">
        <f t="shared" si="46"/>
        <v>0</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v>
      </c>
      <c r="F213" s="706"/>
      <c r="G213" s="14">
        <f t="shared" si="46"/>
        <v>0</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v>
      </c>
      <c r="F214" s="706"/>
      <c r="G214" s="14">
        <f t="shared" si="46"/>
        <v>0</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v>
      </c>
      <c r="F215" s="706"/>
      <c r="G215" s="14">
        <f t="shared" si="46"/>
        <v>0</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v>
      </c>
      <c r="F216" s="706"/>
      <c r="G216" s="14">
        <f t="shared" si="46"/>
        <v>0</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v>
      </c>
      <c r="F217" s="706"/>
      <c r="G217" s="14">
        <f t="shared" si="46"/>
        <v>0</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v>
      </c>
      <c r="F218" s="706"/>
      <c r="G218" s="14">
        <f t="shared" si="46"/>
        <v>0</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v>
      </c>
      <c r="F219" s="706"/>
      <c r="G219" s="14">
        <f t="shared" si="46"/>
        <v>0</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v>
      </c>
      <c r="F221" s="706"/>
      <c r="G221" s="14">
        <f t="shared" si="61"/>
        <v>0</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v>
      </c>
      <c r="F222" s="706"/>
      <c r="G222" s="14">
        <f t="shared" si="61"/>
        <v>0</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v>
      </c>
      <c r="F223" s="706"/>
      <c r="G223" s="14">
        <f t="shared" si="61"/>
        <v>0</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v>
      </c>
      <c r="F224" s="706"/>
      <c r="G224" s="14">
        <f t="shared" si="61"/>
        <v>0</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v>
      </c>
      <c r="F225" s="706"/>
      <c r="G225" s="14">
        <f t="shared" si="61"/>
        <v>0</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v>
      </c>
      <c r="F226" s="706"/>
      <c r="G226" s="14">
        <f t="shared" si="61"/>
        <v>0</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v>
      </c>
      <c r="F227" s="706"/>
      <c r="G227" s="14">
        <f t="shared" si="61"/>
        <v>0</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v>
      </c>
      <c r="F228" s="706"/>
      <c r="G228" s="14">
        <f t="shared" si="61"/>
        <v>0</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v>
      </c>
      <c r="F229" s="706"/>
      <c r="G229" s="14">
        <f t="shared" si="61"/>
        <v>0</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v>
      </c>
      <c r="F230" s="706"/>
      <c r="G230" s="14">
        <f t="shared" si="61"/>
        <v>0</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v>
      </c>
      <c r="F231" s="706"/>
      <c r="G231" s="14">
        <f t="shared" si="61"/>
        <v>0</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v>
      </c>
      <c r="F232" s="706"/>
      <c r="G232" s="14">
        <f t="shared" si="61"/>
        <v>0</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v>
      </c>
      <c r="F233" s="706"/>
      <c r="G233" s="14">
        <f t="shared" si="61"/>
        <v>0</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v>
      </c>
      <c r="F234" s="706"/>
      <c r="G234" s="14">
        <f t="shared" si="61"/>
        <v>0</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v>
      </c>
      <c r="F235" s="706"/>
      <c r="G235" s="14">
        <f t="shared" si="61"/>
        <v>0</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v>
      </c>
      <c r="F236" s="706"/>
      <c r="G236" s="14">
        <f t="shared" si="61"/>
        <v>0</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v>
      </c>
      <c r="F237" s="706"/>
      <c r="G237" s="14">
        <f t="shared" si="61"/>
        <v>0</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v>
      </c>
      <c r="F238" s="706"/>
      <c r="G238" s="14">
        <f t="shared" si="61"/>
        <v>0</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v>
      </c>
      <c r="F239" s="706"/>
      <c r="G239" s="14">
        <f t="shared" si="61"/>
        <v>0</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v>
      </c>
      <c r="F240" s="706"/>
      <c r="G240" s="14">
        <f t="shared" si="61"/>
        <v>0</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v>
      </c>
      <c r="F241" s="706"/>
      <c r="G241" s="14">
        <f t="shared" si="61"/>
        <v>0</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v>
      </c>
      <c r="F242" s="706"/>
      <c r="G242" s="14">
        <f t="shared" si="61"/>
        <v>0</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v>
      </c>
      <c r="F243" s="706"/>
      <c r="G243" s="14">
        <f t="shared" si="61"/>
        <v>0</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v>
      </c>
      <c r="F244" s="706"/>
      <c r="G244" s="14">
        <f t="shared" si="61"/>
        <v>0</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v>
      </c>
      <c r="F245" s="706"/>
      <c r="G245" s="14">
        <f t="shared" si="61"/>
        <v>0</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v>
      </c>
      <c r="F246" s="706"/>
      <c r="G246" s="14">
        <f t="shared" si="61"/>
        <v>0</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v>
      </c>
      <c r="F247" s="706"/>
      <c r="G247" s="14">
        <f t="shared" si="61"/>
        <v>0</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v>
      </c>
      <c r="F248" s="706"/>
      <c r="G248" s="14">
        <f t="shared" si="61"/>
        <v>0</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v>
      </c>
      <c r="F249" s="706"/>
      <c r="G249" s="14">
        <f t="shared" si="61"/>
        <v>0</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v>
      </c>
      <c r="F250" s="706"/>
      <c r="G250" s="14">
        <f t="shared" si="61"/>
        <v>0</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v>
      </c>
      <c r="F251" s="706"/>
      <c r="G251" s="14">
        <f t="shared" si="61"/>
        <v>0</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v>
      </c>
      <c r="F252" s="706"/>
      <c r="G252" s="14">
        <f t="shared" si="61"/>
        <v>0</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v>
      </c>
      <c r="F253" s="706"/>
      <c r="G253" s="14">
        <f t="shared" si="61"/>
        <v>0</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v>
      </c>
      <c r="F254" s="706"/>
      <c r="G254" s="14">
        <f t="shared" si="61"/>
        <v>0</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v>
      </c>
      <c r="F255" s="706"/>
      <c r="G255" s="14">
        <f t="shared" si="61"/>
        <v>0</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v>
      </c>
      <c r="F256" s="706"/>
      <c r="G256" s="14">
        <f t="shared" si="61"/>
        <v>0</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v>
      </c>
      <c r="F257" s="706"/>
      <c r="G257" s="14">
        <f t="shared" si="61"/>
        <v>0</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v>
      </c>
      <c r="F258" s="706"/>
      <c r="G258" s="14">
        <f t="shared" si="61"/>
        <v>0</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v>
      </c>
      <c r="F259" s="706"/>
      <c r="G259" s="14">
        <f t="shared" si="61"/>
        <v>0</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v>
      </c>
      <c r="F260" s="706"/>
      <c r="G260" s="14">
        <f t="shared" si="61"/>
        <v>0</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v>
      </c>
      <c r="F261" s="706"/>
      <c r="G261" s="14">
        <f t="shared" si="61"/>
        <v>0</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v>
      </c>
      <c r="F262" s="706"/>
      <c r="G262" s="14">
        <f t="shared" si="61"/>
        <v>0</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v>
      </c>
      <c r="F263" s="706"/>
      <c r="G263" s="14">
        <f t="shared" si="61"/>
        <v>0</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v>
      </c>
      <c r="F264" s="706"/>
      <c r="G264" s="14">
        <f t="shared" si="61"/>
        <v>0</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v>
      </c>
      <c r="F265" s="706"/>
      <c r="G265" s="14">
        <f t="shared" si="61"/>
        <v>0</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v>
      </c>
      <c r="F266" s="706"/>
      <c r="G266" s="14">
        <f t="shared" si="61"/>
        <v>0</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v>
      </c>
      <c r="F267" s="706"/>
      <c r="G267" s="14">
        <f t="shared" si="61"/>
        <v>0</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v>
      </c>
      <c r="F268" s="706"/>
      <c r="G268" s="14">
        <f t="shared" si="61"/>
        <v>0</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v>
      </c>
      <c r="F269" s="706"/>
      <c r="G269" s="14">
        <f t="shared" si="61"/>
        <v>0</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v>
      </c>
      <c r="F270" s="706"/>
      <c r="G270" s="14">
        <f t="shared" si="61"/>
        <v>0</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v>
      </c>
      <c r="F271" s="706"/>
      <c r="G271" s="14">
        <f t="shared" si="61"/>
        <v>0</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v>
      </c>
      <c r="F272" s="706"/>
      <c r="G272" s="14">
        <f t="shared" si="61"/>
        <v>0</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v>
      </c>
      <c r="F273" s="706"/>
      <c r="G273" s="14">
        <f t="shared" si="61"/>
        <v>0</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v>
      </c>
      <c r="F274" s="706"/>
      <c r="G274" s="14">
        <f t="shared" si="61"/>
        <v>0</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v>
      </c>
      <c r="F275" s="706"/>
      <c r="G275" s="14">
        <f t="shared" si="61"/>
        <v>0</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v>
      </c>
      <c r="F276" s="706"/>
      <c r="G276" s="14">
        <f t="shared" si="61"/>
        <v>0</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v>
      </c>
      <c r="F277" s="706"/>
      <c r="G277" s="14">
        <f t="shared" si="61"/>
        <v>0</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v>
      </c>
      <c r="F278" s="706"/>
      <c r="G278" s="14">
        <f t="shared" si="61"/>
        <v>0</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v>
      </c>
      <c r="F279" s="706"/>
      <c r="G279" s="14">
        <f t="shared" si="61"/>
        <v>0</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v>
      </c>
      <c r="F280" s="706"/>
      <c r="G280" s="14">
        <f t="shared" si="61"/>
        <v>0</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v>
      </c>
      <c r="F281" s="706"/>
      <c r="G281" s="14">
        <f t="shared" si="61"/>
        <v>0</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v>
      </c>
      <c r="F282" s="706"/>
      <c r="G282" s="14">
        <f t="shared" si="61"/>
        <v>0</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v>
      </c>
      <c r="F283" s="706"/>
      <c r="G283" s="14">
        <f t="shared" si="61"/>
        <v>0</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v>
      </c>
      <c r="F285" s="706"/>
      <c r="G285" s="14">
        <f t="shared" si="76"/>
        <v>0</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v>
      </c>
      <c r="F286" s="706"/>
      <c r="G286" s="14">
        <f t="shared" si="76"/>
        <v>0</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v>
      </c>
      <c r="F287" s="706"/>
      <c r="G287" s="14">
        <f t="shared" si="76"/>
        <v>0</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v>
      </c>
      <c r="F288" s="706"/>
      <c r="G288" s="14">
        <f t="shared" si="76"/>
        <v>0</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v>
      </c>
      <c r="F289" s="706"/>
      <c r="G289" s="14">
        <f t="shared" si="76"/>
        <v>0</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v>
      </c>
      <c r="F290" s="706"/>
      <c r="G290" s="14">
        <f t="shared" si="76"/>
        <v>0</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v>
      </c>
      <c r="F291" s="706"/>
      <c r="G291" s="14">
        <f t="shared" si="76"/>
        <v>0</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v>
      </c>
      <c r="F292" s="706"/>
      <c r="G292" s="14">
        <f t="shared" si="76"/>
        <v>0</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v>
      </c>
      <c r="F293" s="706"/>
      <c r="G293" s="14">
        <f t="shared" si="76"/>
        <v>0</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v>
      </c>
      <c r="F294" s="706"/>
      <c r="G294" s="14">
        <f t="shared" si="76"/>
        <v>0</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v>
      </c>
      <c r="F295" s="706"/>
      <c r="G295" s="14">
        <f t="shared" si="76"/>
        <v>0</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v>
      </c>
      <c r="F296" s="706"/>
      <c r="G296" s="14">
        <f t="shared" si="76"/>
        <v>0</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v>
      </c>
      <c r="F297" s="706"/>
      <c r="G297" s="14">
        <f t="shared" si="76"/>
        <v>0</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v>
      </c>
      <c r="F298" s="706"/>
      <c r="G298" s="14">
        <f t="shared" si="76"/>
        <v>0</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v>
      </c>
      <c r="F299" s="706"/>
      <c r="G299" s="14">
        <f t="shared" si="76"/>
        <v>0</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v>
      </c>
      <c r="F300" s="706"/>
      <c r="G300" s="14">
        <f t="shared" si="76"/>
        <v>0</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v>
      </c>
      <c r="F301" s="706"/>
      <c r="G301" s="14">
        <f t="shared" si="76"/>
        <v>0</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v>
      </c>
      <c r="F302" s="706"/>
      <c r="G302" s="14">
        <f t="shared" si="76"/>
        <v>0</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v>
      </c>
      <c r="F303" s="706"/>
      <c r="G303" s="14">
        <f t="shared" si="76"/>
        <v>0</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v>
      </c>
      <c r="F304" s="706"/>
      <c r="G304" s="14">
        <f t="shared" si="76"/>
        <v>0</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v>
      </c>
      <c r="F305" s="706"/>
      <c r="G305" s="14">
        <f t="shared" si="76"/>
        <v>0</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v>
      </c>
      <c r="F306" s="706"/>
      <c r="G306" s="14">
        <f t="shared" si="76"/>
        <v>0</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v>
      </c>
      <c r="F307" s="706"/>
      <c r="G307" s="14">
        <f t="shared" si="76"/>
        <v>0</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v>
      </c>
      <c r="F308" s="706"/>
      <c r="G308" s="14">
        <f t="shared" si="76"/>
        <v>0</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v>
      </c>
      <c r="F309" s="706"/>
      <c r="G309" s="14">
        <f t="shared" si="76"/>
        <v>0</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v>
      </c>
      <c r="F310" s="706"/>
      <c r="G310" s="14">
        <f t="shared" si="76"/>
        <v>0</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v>
      </c>
      <c r="F311" s="706"/>
      <c r="G311" s="14">
        <f t="shared" si="76"/>
        <v>0</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v>
      </c>
      <c r="F312" s="706"/>
      <c r="G312" s="14">
        <f t="shared" si="76"/>
        <v>0</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v>
      </c>
      <c r="F313" s="706"/>
      <c r="G313" s="14">
        <f t="shared" si="76"/>
        <v>0</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v>
      </c>
      <c r="F314" s="706"/>
      <c r="G314" s="14">
        <f t="shared" si="76"/>
        <v>0</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v>
      </c>
      <c r="F315" s="706"/>
      <c r="G315" s="14">
        <f t="shared" si="76"/>
        <v>0</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v>
      </c>
      <c r="F316" s="706"/>
      <c r="G316" s="14">
        <f t="shared" si="76"/>
        <v>0</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v>
      </c>
      <c r="F317" s="706"/>
      <c r="G317" s="14">
        <f t="shared" si="76"/>
        <v>0</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v>
      </c>
      <c r="F318" s="706"/>
      <c r="G318" s="14">
        <f t="shared" si="76"/>
        <v>0</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v>
      </c>
      <c r="F319" s="706"/>
      <c r="G319" s="14">
        <f t="shared" si="76"/>
        <v>0</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v>
      </c>
      <c r="F320" s="706"/>
      <c r="G320" s="14">
        <f t="shared" si="76"/>
        <v>0</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v>
      </c>
      <c r="F321" s="706"/>
      <c r="G321" s="14">
        <f t="shared" si="76"/>
        <v>0</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v>
      </c>
      <c r="F322" s="706"/>
      <c r="G322" s="14">
        <f t="shared" si="76"/>
        <v>0</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v>
      </c>
      <c r="F323" s="706"/>
      <c r="G323" s="14">
        <f t="shared" si="76"/>
        <v>0</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v>
      </c>
      <c r="F324" s="706"/>
      <c r="G324" s="14">
        <f t="shared" si="76"/>
        <v>0</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v>
      </c>
      <c r="F325" s="706"/>
      <c r="G325" s="14">
        <f t="shared" si="76"/>
        <v>0</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v>
      </c>
      <c r="F326" s="706"/>
      <c r="G326" s="14">
        <f t="shared" si="76"/>
        <v>0</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v>
      </c>
      <c r="F327" s="706"/>
      <c r="G327" s="14">
        <f t="shared" si="76"/>
        <v>0</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v>
      </c>
      <c r="F328" s="706"/>
      <c r="G328" s="14">
        <f t="shared" si="76"/>
        <v>0</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v>
      </c>
      <c r="F329" s="706"/>
      <c r="G329" s="14">
        <f t="shared" si="76"/>
        <v>0</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v>
      </c>
      <c r="F330" s="706"/>
      <c r="G330" s="14">
        <f t="shared" si="76"/>
        <v>0</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v>
      </c>
      <c r="F331" s="706"/>
      <c r="G331" s="14">
        <f t="shared" si="76"/>
        <v>0</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v>
      </c>
      <c r="F332" s="706"/>
      <c r="G332" s="14">
        <f t="shared" si="76"/>
        <v>0</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v>
      </c>
      <c r="F333" s="706"/>
      <c r="G333" s="14">
        <f t="shared" si="76"/>
        <v>0</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v>
      </c>
      <c r="F334" s="706"/>
      <c r="G334" s="14">
        <f t="shared" si="76"/>
        <v>0</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v>
      </c>
      <c r="F335" s="706"/>
      <c r="G335" s="14">
        <f t="shared" si="76"/>
        <v>0</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v>
      </c>
      <c r="F336" s="706"/>
      <c r="G336" s="14">
        <f t="shared" si="76"/>
        <v>0</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v>
      </c>
      <c r="F337" s="706"/>
      <c r="G337" s="14">
        <f t="shared" si="76"/>
        <v>0</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v>
      </c>
      <c r="F338" s="706"/>
      <c r="G338" s="14">
        <f t="shared" si="76"/>
        <v>0</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v>
      </c>
      <c r="F339" s="706"/>
      <c r="G339" s="14">
        <f t="shared" si="76"/>
        <v>0</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v>
      </c>
      <c r="F340" s="706"/>
      <c r="G340" s="14">
        <f t="shared" si="76"/>
        <v>0</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v>
      </c>
      <c r="F341" s="706"/>
      <c r="G341" s="14">
        <f t="shared" si="76"/>
        <v>0</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v>
      </c>
      <c r="F342" s="706"/>
      <c r="G342" s="14">
        <f t="shared" si="76"/>
        <v>0</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v>
      </c>
      <c r="F343" s="706"/>
      <c r="G343" s="14">
        <f t="shared" si="76"/>
        <v>0</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v>
      </c>
      <c r="F344" s="706"/>
      <c r="G344" s="14">
        <f t="shared" si="76"/>
        <v>0</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v>
      </c>
      <c r="F345" s="706"/>
      <c r="G345" s="14">
        <f t="shared" si="76"/>
        <v>0</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v>
      </c>
      <c r="F346" s="706"/>
      <c r="G346" s="14">
        <f t="shared" si="76"/>
        <v>0</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v>
      </c>
      <c r="F347" s="706"/>
      <c r="G347" s="14">
        <f t="shared" si="76"/>
        <v>0</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v>
      </c>
      <c r="F349" s="706"/>
      <c r="G349" s="14">
        <f t="shared" si="91"/>
        <v>0</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v>
      </c>
      <c r="F350" s="706"/>
      <c r="G350" s="14">
        <f t="shared" si="91"/>
        <v>0</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v>
      </c>
      <c r="F351" s="706"/>
      <c r="G351" s="14">
        <f t="shared" si="91"/>
        <v>0</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v>
      </c>
      <c r="F352" s="706"/>
      <c r="G352" s="14">
        <f t="shared" si="91"/>
        <v>0</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v>
      </c>
      <c r="F353" s="706"/>
      <c r="G353" s="14">
        <f t="shared" si="91"/>
        <v>0</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v>
      </c>
      <c r="F354" s="706"/>
      <c r="G354" s="14">
        <f t="shared" si="91"/>
        <v>0</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v>
      </c>
      <c r="F355" s="706"/>
      <c r="G355" s="14">
        <f t="shared" si="91"/>
        <v>0</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v>
      </c>
      <c r="F356" s="706"/>
      <c r="G356" s="14">
        <f t="shared" si="91"/>
        <v>0</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v>
      </c>
      <c r="F357" s="706"/>
      <c r="G357" s="14">
        <f t="shared" si="91"/>
        <v>0</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v>
      </c>
      <c r="F358" s="706"/>
      <c r="G358" s="14">
        <f t="shared" si="91"/>
        <v>0</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v>
      </c>
      <c r="F359" s="706"/>
      <c r="G359" s="14">
        <f t="shared" si="91"/>
        <v>0</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v>
      </c>
      <c r="F360" s="706"/>
      <c r="G360" s="14">
        <f t="shared" si="91"/>
        <v>0</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v>
      </c>
      <c r="F361" s="706"/>
      <c r="G361" s="14">
        <f t="shared" si="91"/>
        <v>0</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v>
      </c>
      <c r="F362" s="706"/>
      <c r="G362" s="14">
        <f t="shared" si="91"/>
        <v>0</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v>
      </c>
      <c r="F363" s="706"/>
      <c r="G363" s="14">
        <f t="shared" si="91"/>
        <v>0</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v>
      </c>
      <c r="F364" s="706"/>
      <c r="G364" s="14">
        <f t="shared" si="91"/>
        <v>0</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v>
      </c>
      <c r="F365" s="706"/>
      <c r="G365" s="14">
        <f t="shared" si="91"/>
        <v>0</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v>
      </c>
      <c r="F366" s="706"/>
      <c r="G366" s="14">
        <f t="shared" si="91"/>
        <v>0</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v>
      </c>
      <c r="F367" s="706"/>
      <c r="G367" s="14">
        <f t="shared" si="91"/>
        <v>0</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v>
      </c>
      <c r="F368" s="706"/>
      <c r="G368" s="14">
        <f t="shared" si="91"/>
        <v>0</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v>
      </c>
      <c r="F369" s="706"/>
      <c r="G369" s="14">
        <f t="shared" si="91"/>
        <v>0</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v>
      </c>
      <c r="F370" s="706"/>
      <c r="G370" s="14">
        <f t="shared" si="91"/>
        <v>0</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v>
      </c>
      <c r="F371" s="706"/>
      <c r="G371" s="14">
        <f t="shared" si="91"/>
        <v>0</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v>
      </c>
      <c r="F372" s="706"/>
      <c r="G372" s="14">
        <f t="shared" si="91"/>
        <v>0</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v>
      </c>
      <c r="F373" s="706"/>
      <c r="G373" s="14">
        <f t="shared" si="91"/>
        <v>0</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v>
      </c>
      <c r="F374" s="706"/>
      <c r="G374" s="14">
        <f t="shared" si="91"/>
        <v>0</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v>
      </c>
      <c r="F375" s="706"/>
      <c r="G375" s="14">
        <f t="shared" si="91"/>
        <v>0</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v>
      </c>
      <c r="F376" s="706"/>
      <c r="G376" s="14">
        <f t="shared" si="91"/>
        <v>0</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v>
      </c>
      <c r="F377" s="706"/>
      <c r="G377" s="14">
        <f t="shared" si="91"/>
        <v>0</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v>
      </c>
      <c r="F378" s="706"/>
      <c r="G378" s="14">
        <f t="shared" si="91"/>
        <v>0</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v>
      </c>
      <c r="F379" s="706"/>
      <c r="G379" s="14">
        <f t="shared" si="91"/>
        <v>0</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v>
      </c>
      <c r="F380" s="706"/>
      <c r="G380" s="14">
        <f t="shared" si="91"/>
        <v>0</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v>
      </c>
      <c r="F381" s="706"/>
      <c r="G381" s="14">
        <f t="shared" si="91"/>
        <v>0</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v>
      </c>
      <c r="F382" s="706"/>
      <c r="G382" s="14">
        <f t="shared" si="91"/>
        <v>0</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v>
      </c>
      <c r="F383" s="706"/>
      <c r="G383" s="14">
        <f t="shared" si="91"/>
        <v>0</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v>
      </c>
      <c r="F384" s="706"/>
      <c r="G384" s="14">
        <f t="shared" si="91"/>
        <v>0</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v>
      </c>
      <c r="F385" s="706"/>
      <c r="G385" s="14">
        <f t="shared" si="91"/>
        <v>0</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v>
      </c>
      <c r="F386" s="706"/>
      <c r="G386" s="14">
        <f t="shared" si="91"/>
        <v>0</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v>
      </c>
      <c r="F387" s="706"/>
      <c r="G387" s="14">
        <f t="shared" si="91"/>
        <v>0</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v>
      </c>
      <c r="F388" s="706"/>
      <c r="G388" s="14">
        <f t="shared" si="91"/>
        <v>0</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v>
      </c>
      <c r="F389" s="706"/>
      <c r="G389" s="14">
        <f t="shared" si="91"/>
        <v>0</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v>
      </c>
      <c r="F390" s="706"/>
      <c r="G390" s="14">
        <f t="shared" si="91"/>
        <v>0</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v>
      </c>
      <c r="F391" s="706"/>
      <c r="G391" s="14">
        <f t="shared" si="91"/>
        <v>0</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v>
      </c>
      <c r="F392" s="706"/>
      <c r="G392" s="14">
        <f t="shared" si="91"/>
        <v>0</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v>
      </c>
      <c r="F393" s="706"/>
      <c r="G393" s="14">
        <f t="shared" si="91"/>
        <v>0</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v>
      </c>
      <c r="F394" s="706"/>
      <c r="G394" s="14">
        <f t="shared" si="91"/>
        <v>0</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v>
      </c>
      <c r="F395" s="706"/>
      <c r="G395" s="14">
        <f t="shared" si="91"/>
        <v>0</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v>
      </c>
      <c r="F396" s="706"/>
      <c r="G396" s="14">
        <f t="shared" si="91"/>
        <v>0</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v>
      </c>
      <c r="F397" s="706"/>
      <c r="G397" s="14">
        <f t="shared" si="91"/>
        <v>0</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v>
      </c>
      <c r="F398" s="706"/>
      <c r="G398" s="14">
        <f t="shared" si="91"/>
        <v>0</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v>
      </c>
      <c r="F399" s="706"/>
      <c r="G399" s="14">
        <f t="shared" si="91"/>
        <v>0</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v>
      </c>
      <c r="F400" s="706"/>
      <c r="G400" s="14">
        <f t="shared" si="91"/>
        <v>0</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v>
      </c>
      <c r="F401" s="706"/>
      <c r="G401" s="14">
        <f t="shared" si="91"/>
        <v>0</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v>
      </c>
      <c r="F402" s="706"/>
      <c r="G402" s="14">
        <f t="shared" si="91"/>
        <v>0</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v>
      </c>
      <c r="F403" s="706"/>
      <c r="G403" s="14">
        <f t="shared" si="91"/>
        <v>0</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v>
      </c>
      <c r="F404" s="706"/>
      <c r="G404" s="14">
        <f t="shared" si="91"/>
        <v>0</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v>
      </c>
      <c r="F405" s="706"/>
      <c r="G405" s="14">
        <f t="shared" si="91"/>
        <v>0</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v>
      </c>
      <c r="F406" s="706"/>
      <c r="G406" s="14">
        <f t="shared" si="91"/>
        <v>0</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v>
      </c>
      <c r="F407" s="706"/>
      <c r="G407" s="14">
        <f t="shared" si="91"/>
        <v>0</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v>
      </c>
      <c r="F408" s="706"/>
      <c r="G408" s="14">
        <f t="shared" si="91"/>
        <v>0</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v>
      </c>
      <c r="F409" s="706"/>
      <c r="G409" s="14">
        <f t="shared" si="91"/>
        <v>0</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v>
      </c>
      <c r="F410" s="706"/>
      <c r="G410" s="14">
        <f t="shared" si="91"/>
        <v>0</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v>
      </c>
      <c r="F411" s="706"/>
      <c r="G411" s="14">
        <f t="shared" si="91"/>
        <v>0</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v>
      </c>
      <c r="F413" s="706"/>
      <c r="G413" s="14">
        <f t="shared" si="106"/>
        <v>0</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v>
      </c>
      <c r="F414" s="706"/>
      <c r="G414" s="14">
        <f t="shared" si="106"/>
        <v>0</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v>
      </c>
      <c r="F415" s="706"/>
      <c r="G415" s="14">
        <f t="shared" si="106"/>
        <v>0</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v>
      </c>
      <c r="F416" s="706"/>
      <c r="G416" s="14">
        <f t="shared" si="106"/>
        <v>0</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v>
      </c>
      <c r="F417" s="706"/>
      <c r="G417" s="14">
        <f t="shared" si="106"/>
        <v>0</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v>
      </c>
      <c r="F418" s="706"/>
      <c r="G418" s="14">
        <f t="shared" si="106"/>
        <v>0</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v>
      </c>
      <c r="F419" s="706"/>
      <c r="G419" s="14">
        <f t="shared" si="106"/>
        <v>0</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v>
      </c>
      <c r="F420" s="706"/>
      <c r="G420" s="14">
        <f t="shared" si="106"/>
        <v>0</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v>
      </c>
      <c r="F421" s="706"/>
      <c r="G421" s="14">
        <f t="shared" si="106"/>
        <v>0</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v>
      </c>
      <c r="F422" s="706"/>
      <c r="G422" s="14">
        <f t="shared" si="106"/>
        <v>0</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v>
      </c>
      <c r="F423" s="706"/>
      <c r="G423" s="14">
        <f t="shared" si="106"/>
        <v>0</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v>
      </c>
      <c r="F424" s="706"/>
      <c r="G424" s="14">
        <f t="shared" si="106"/>
        <v>0</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v>
      </c>
      <c r="F425" s="706"/>
      <c r="G425" s="14">
        <f t="shared" si="106"/>
        <v>0</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v>
      </c>
      <c r="F426" s="706"/>
      <c r="G426" s="14">
        <f t="shared" si="106"/>
        <v>0</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v>
      </c>
      <c r="F427" s="706"/>
      <c r="G427" s="14">
        <f t="shared" si="106"/>
        <v>0</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v>
      </c>
      <c r="F428" s="706"/>
      <c r="G428" s="14">
        <f t="shared" si="106"/>
        <v>0</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v>
      </c>
      <c r="F429" s="706"/>
      <c r="G429" s="14">
        <f t="shared" si="106"/>
        <v>0</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v>
      </c>
      <c r="F430" s="706"/>
      <c r="G430" s="14">
        <f t="shared" si="106"/>
        <v>0</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v>
      </c>
      <c r="F431" s="706"/>
      <c r="G431" s="14">
        <f t="shared" si="106"/>
        <v>0</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v>
      </c>
      <c r="F432" s="706"/>
      <c r="G432" s="14">
        <f t="shared" si="106"/>
        <v>0</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v>
      </c>
      <c r="F433" s="706"/>
      <c r="G433" s="14">
        <f t="shared" si="106"/>
        <v>0</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v>
      </c>
      <c r="F434" s="706"/>
      <c r="G434" s="14">
        <f t="shared" si="106"/>
        <v>0</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v>
      </c>
      <c r="F435" s="706"/>
      <c r="G435" s="14">
        <f t="shared" si="106"/>
        <v>0</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v>
      </c>
      <c r="F436" s="706"/>
      <c r="G436" s="14">
        <f t="shared" si="106"/>
        <v>0</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v>
      </c>
      <c r="F437" s="706"/>
      <c r="G437" s="14">
        <f t="shared" si="106"/>
        <v>0</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v>
      </c>
      <c r="F438" s="706"/>
      <c r="G438" s="14">
        <f t="shared" si="106"/>
        <v>0</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v>
      </c>
      <c r="F439" s="706"/>
      <c r="G439" s="14">
        <f t="shared" si="106"/>
        <v>0</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v>
      </c>
      <c r="F440" s="706"/>
      <c r="G440" s="14">
        <f t="shared" si="106"/>
        <v>0</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v>
      </c>
      <c r="F441" s="706"/>
      <c r="G441" s="14">
        <f t="shared" si="106"/>
        <v>0</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v>
      </c>
      <c r="F442" s="706"/>
      <c r="G442" s="14">
        <f t="shared" si="106"/>
        <v>0</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v>
      </c>
      <c r="F443" s="706"/>
      <c r="G443" s="14">
        <f t="shared" si="106"/>
        <v>0</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v>
      </c>
      <c r="F444" s="706"/>
      <c r="G444" s="14">
        <f t="shared" si="106"/>
        <v>0</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v>
      </c>
      <c r="F445" s="706"/>
      <c r="G445" s="14">
        <f t="shared" si="106"/>
        <v>0</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v>
      </c>
      <c r="F446" s="706"/>
      <c r="G446" s="14">
        <f t="shared" si="106"/>
        <v>0</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v>
      </c>
      <c r="F447" s="706"/>
      <c r="G447" s="14">
        <f t="shared" si="106"/>
        <v>0</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v>
      </c>
      <c r="F448" s="706"/>
      <c r="G448" s="14">
        <f t="shared" si="106"/>
        <v>0</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v>
      </c>
      <c r="F449" s="706"/>
      <c r="G449" s="14">
        <f t="shared" si="106"/>
        <v>0</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v>
      </c>
      <c r="F450" s="706"/>
      <c r="G450" s="14">
        <f t="shared" si="106"/>
        <v>0</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v>
      </c>
      <c r="F451" s="706"/>
      <c r="G451" s="14">
        <f t="shared" si="106"/>
        <v>0</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v>
      </c>
      <c r="F452" s="706"/>
      <c r="G452" s="14">
        <f t="shared" si="106"/>
        <v>0</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v>
      </c>
      <c r="F453" s="706"/>
      <c r="G453" s="14">
        <f t="shared" si="106"/>
        <v>0</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v>
      </c>
      <c r="F454" s="706"/>
      <c r="G454" s="14">
        <f t="shared" si="106"/>
        <v>0</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v>
      </c>
      <c r="F455" s="706"/>
      <c r="G455" s="14">
        <f t="shared" si="106"/>
        <v>0</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v>
      </c>
      <c r="F456" s="706"/>
      <c r="G456" s="14">
        <f t="shared" si="106"/>
        <v>0</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v>
      </c>
      <c r="F457" s="706"/>
      <c r="G457" s="14">
        <f t="shared" si="106"/>
        <v>0</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v>
      </c>
      <c r="F458" s="706"/>
      <c r="G458" s="14">
        <f t="shared" si="106"/>
        <v>0</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v>
      </c>
      <c r="F459" s="706"/>
      <c r="G459" s="14">
        <f t="shared" si="106"/>
        <v>0</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v>
      </c>
      <c r="F460" s="706"/>
      <c r="G460" s="14">
        <f t="shared" si="106"/>
        <v>0</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v>
      </c>
      <c r="F461" s="706"/>
      <c r="G461" s="14">
        <f t="shared" si="106"/>
        <v>0</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v>
      </c>
      <c r="F462" s="706"/>
      <c r="G462" s="14">
        <f t="shared" si="106"/>
        <v>0</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v>
      </c>
      <c r="F463" s="706"/>
      <c r="G463" s="14">
        <f t="shared" si="106"/>
        <v>0</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v>
      </c>
      <c r="F464" s="706"/>
      <c r="G464" s="14">
        <f t="shared" si="106"/>
        <v>0</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v>
      </c>
      <c r="F465" s="706"/>
      <c r="G465" s="14">
        <f t="shared" si="106"/>
        <v>0</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v>
      </c>
      <c r="F466" s="706"/>
      <c r="G466" s="14">
        <f t="shared" si="106"/>
        <v>0</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v>
      </c>
      <c r="F467" s="706"/>
      <c r="G467" s="14">
        <f t="shared" si="106"/>
        <v>0</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v>
      </c>
      <c r="F468" s="706"/>
      <c r="G468" s="14">
        <f t="shared" si="106"/>
        <v>0</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v>
      </c>
      <c r="F469" s="706"/>
      <c r="G469" s="14">
        <f t="shared" si="106"/>
        <v>0</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v>
      </c>
      <c r="F470" s="706"/>
      <c r="G470" s="14">
        <f t="shared" si="106"/>
        <v>0</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v>
      </c>
      <c r="F471" s="706"/>
      <c r="G471" s="14">
        <f t="shared" si="106"/>
        <v>0</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v>
      </c>
      <c r="F472" s="706"/>
      <c r="G472" s="14">
        <f t="shared" si="106"/>
        <v>0</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v>
      </c>
      <c r="F473" s="706"/>
      <c r="G473" s="14">
        <f t="shared" si="106"/>
        <v>0</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v>
      </c>
      <c r="F474" s="706"/>
      <c r="G474" s="14">
        <f t="shared" si="106"/>
        <v>0</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v>
      </c>
      <c r="F475" s="706"/>
      <c r="G475" s="14">
        <f t="shared" si="106"/>
        <v>0</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v>
      </c>
      <c r="F477" s="706"/>
      <c r="G477" s="14">
        <f t="shared" si="121"/>
        <v>0</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v>
      </c>
      <c r="F478" s="706"/>
      <c r="G478" s="14">
        <f t="shared" si="121"/>
        <v>0</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v>
      </c>
      <c r="F479" s="706"/>
      <c r="G479" s="14">
        <f t="shared" si="121"/>
        <v>0</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v>
      </c>
      <c r="F480" s="706"/>
      <c r="G480" s="14">
        <f t="shared" si="121"/>
        <v>0</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v>
      </c>
      <c r="F481" s="706"/>
      <c r="G481" s="14">
        <f t="shared" si="121"/>
        <v>0</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v>
      </c>
      <c r="F482" s="706"/>
      <c r="G482" s="14">
        <f t="shared" si="121"/>
        <v>0</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v>
      </c>
      <c r="F483" s="706"/>
      <c r="G483" s="14">
        <f t="shared" si="121"/>
        <v>0</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v>
      </c>
      <c r="F484" s="706"/>
      <c r="G484" s="14">
        <f t="shared" si="121"/>
        <v>0</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v>
      </c>
      <c r="F485" s="706"/>
      <c r="G485" s="14">
        <f t="shared" si="121"/>
        <v>0</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v>
      </c>
      <c r="F486" s="706"/>
      <c r="G486" s="14">
        <f t="shared" si="121"/>
        <v>0</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v>
      </c>
      <c r="F487" s="706"/>
      <c r="G487" s="14">
        <f t="shared" si="121"/>
        <v>0</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v>
      </c>
      <c r="F488" s="706"/>
      <c r="G488" s="14">
        <f t="shared" si="121"/>
        <v>0</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v>
      </c>
      <c r="F489" s="706"/>
      <c r="G489" s="14">
        <f t="shared" si="121"/>
        <v>0</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v>
      </c>
      <c r="F490" s="706"/>
      <c r="G490" s="14">
        <f t="shared" si="121"/>
        <v>0</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v>
      </c>
      <c r="F491" s="706"/>
      <c r="G491" s="14">
        <f t="shared" si="121"/>
        <v>0</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v>
      </c>
      <c r="F492" s="706"/>
      <c r="G492" s="14">
        <f t="shared" si="121"/>
        <v>0</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v>
      </c>
      <c r="F493" s="706"/>
      <c r="G493" s="14">
        <f t="shared" si="121"/>
        <v>0</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v>
      </c>
      <c r="F494" s="706"/>
      <c r="G494" s="14">
        <f t="shared" si="121"/>
        <v>0</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v>
      </c>
      <c r="F495" s="706"/>
      <c r="G495" s="14">
        <f t="shared" si="121"/>
        <v>0</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v>
      </c>
      <c r="F496" s="706"/>
      <c r="G496" s="14">
        <f t="shared" si="121"/>
        <v>0</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v>
      </c>
      <c r="F497" s="706"/>
      <c r="G497" s="14">
        <f t="shared" si="121"/>
        <v>0</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v>
      </c>
      <c r="F498" s="706"/>
      <c r="G498" s="14">
        <f t="shared" si="121"/>
        <v>0</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v>
      </c>
      <c r="F499" s="706"/>
      <c r="G499" s="14">
        <f t="shared" si="121"/>
        <v>0</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v>
      </c>
      <c r="F500" s="706"/>
      <c r="G500" s="14">
        <f t="shared" si="121"/>
        <v>0</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v>
      </c>
      <c r="F501" s="706"/>
      <c r="G501" s="14">
        <f t="shared" si="121"/>
        <v>0</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v>
      </c>
      <c r="F502" s="706"/>
      <c r="G502" s="14">
        <f t="shared" si="121"/>
        <v>0</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v>
      </c>
      <c r="F503" s="706"/>
      <c r="G503" s="14">
        <f t="shared" si="121"/>
        <v>0</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v>
      </c>
      <c r="F504" s="706"/>
      <c r="G504" s="14">
        <f t="shared" si="121"/>
        <v>0</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v>
      </c>
      <c r="F505" s="706"/>
      <c r="G505" s="14">
        <f t="shared" si="121"/>
        <v>0</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v>
      </c>
      <c r="F506" s="706"/>
      <c r="G506" s="14">
        <f t="shared" si="121"/>
        <v>0</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v>
      </c>
      <c r="F507" s="706"/>
      <c r="G507" s="14">
        <f t="shared" si="121"/>
        <v>0</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v>
      </c>
      <c r="F508" s="706"/>
      <c r="G508" s="14">
        <f t="shared" si="121"/>
        <v>0</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v>
      </c>
      <c r="F509" s="706"/>
      <c r="G509" s="14">
        <f t="shared" si="121"/>
        <v>0</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v>
      </c>
      <c r="F510" s="706"/>
      <c r="G510" s="14">
        <f t="shared" si="121"/>
        <v>0</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v>
      </c>
      <c r="F511" s="706"/>
      <c r="G511" s="14">
        <f t="shared" si="121"/>
        <v>0</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v>
      </c>
      <c r="F512" s="706"/>
      <c r="G512" s="14">
        <f t="shared" si="121"/>
        <v>0</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v>
      </c>
      <c r="F513" s="706"/>
      <c r="G513" s="14">
        <f t="shared" si="121"/>
        <v>0</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v>
      </c>
      <c r="F514" s="706"/>
      <c r="G514" s="14">
        <f t="shared" si="121"/>
        <v>0</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v>
      </c>
      <c r="F515" s="706"/>
      <c r="G515" s="14">
        <f t="shared" si="121"/>
        <v>0</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v>
      </c>
      <c r="F516" s="706"/>
      <c r="G516" s="14">
        <f t="shared" si="121"/>
        <v>0</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v>
      </c>
      <c r="F517" s="706"/>
      <c r="G517" s="14">
        <f t="shared" si="121"/>
        <v>0</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v>
      </c>
      <c r="F518" s="706"/>
      <c r="G518" s="14">
        <f t="shared" si="121"/>
        <v>0</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v>
      </c>
      <c r="F519" s="706"/>
      <c r="G519" s="14">
        <f t="shared" si="121"/>
        <v>0</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v>
      </c>
      <c r="F520" s="706"/>
      <c r="G520" s="14">
        <f t="shared" si="121"/>
        <v>0</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v>
      </c>
      <c r="F521" s="706"/>
      <c r="G521" s="14">
        <f t="shared" si="121"/>
        <v>0</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v>
      </c>
      <c r="F522" s="706"/>
      <c r="G522" s="14">
        <f t="shared" si="121"/>
        <v>0</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v>
      </c>
      <c r="F523" s="706"/>
      <c r="G523" s="14">
        <f t="shared" si="121"/>
        <v>0</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v>
      </c>
      <c r="F524" s="706"/>
      <c r="G524" s="14">
        <f t="shared" si="121"/>
        <v>0</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v>
      </c>
      <c r="F525" s="706"/>
      <c r="G525" s="14">
        <f t="shared" si="121"/>
        <v>0</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v>
      </c>
      <c r="F526" s="706"/>
      <c r="G526" s="14">
        <f t="shared" si="121"/>
        <v>0</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v>
      </c>
      <c r="F527" s="706"/>
      <c r="G527" s="14">
        <f t="shared" si="121"/>
        <v>0</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北京恒远恒信科技发展有限公司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70" zoomScaleNormal="70" zoomScaleSheetLayoutView="100" workbookViewId="0">
      <selection activeCell="H49" sqref="H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2087</v>
      </c>
      <c r="B1" s="306"/>
      <c r="C1" s="729"/>
      <c r="D1" s="2687" t="s">
        <v>2980</v>
      </c>
      <c r="E1" s="2688" t="s">
        <v>1247</v>
      </c>
      <c r="F1" s="2689"/>
      <c r="G1" s="2690"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1997</v>
      </c>
      <c r="B2" s="764">
        <f ca="1">IF(C2="元",IF('数据-取费表'!B28="租赁期内按合同租金",C40+L47+J29,C40+L47),ROUND(IF('数据-取费表'!B28="租赁期内按合同租金",(C40+L47+J29)/10000,(C40+L47)/10000),0))</f>
        <v>11070498</v>
      </c>
      <c r="C2" s="2327" t="str">
        <f>'数据-取费表'!B3</f>
        <v>元</v>
      </c>
      <c r="D2" s="1209"/>
      <c r="E2" s="1210"/>
      <c r="F2" s="1210"/>
      <c r="G2" s="1235"/>
      <c r="H2" s="728"/>
      <c r="I2" s="1211"/>
      <c r="J2" s="1211"/>
      <c r="K2" s="1212"/>
      <c r="L2" s="1211"/>
      <c r="M2" s="1211"/>
    </row>
    <row r="3" spans="1:37" ht="18" customHeight="1" thickBot="1">
      <c r="A3" s="310" t="s">
        <v>1998</v>
      </c>
      <c r="B3" s="765">
        <f ca="1">ROUND(IF('数据-取费表'!B28="租赁期内按合同租金",(C40+L47+J29)/F43,(C40+L47)/F43),0)</f>
        <v>42320</v>
      </c>
      <c r="C3" s="2327" t="s">
        <v>2088</v>
      </c>
      <c r="D3" s="1209"/>
      <c r="E3" s="1210"/>
      <c r="F3" s="1210"/>
      <c r="G3" s="1235"/>
      <c r="H3" s="311" t="s">
        <v>2089</v>
      </c>
      <c r="I3" s="1211"/>
      <c r="J3" s="1211"/>
      <c r="K3" s="1212"/>
      <c r="L3" s="1211"/>
      <c r="M3" s="1211"/>
    </row>
    <row r="4" spans="1:37" ht="18" customHeight="1">
      <c r="A4" s="312" t="s">
        <v>2090</v>
      </c>
      <c r="B4" s="313" t="s">
        <v>2091</v>
      </c>
      <c r="C4" s="313" t="s">
        <v>2092</v>
      </c>
      <c r="D4" s="313" t="s">
        <v>2093</v>
      </c>
      <c r="E4" s="314" t="s">
        <v>2094</v>
      </c>
      <c r="F4" s="315"/>
      <c r="G4" s="1233"/>
      <c r="H4" s="312" t="s">
        <v>2090</v>
      </c>
      <c r="I4" s="313" t="s">
        <v>2091</v>
      </c>
      <c r="J4" s="313" t="s">
        <v>2092</v>
      </c>
      <c r="K4" s="313" t="s">
        <v>2093</v>
      </c>
      <c r="L4" s="314" t="s">
        <v>2094</v>
      </c>
      <c r="M4" s="315"/>
    </row>
    <row r="5" spans="1:37" ht="18" customHeight="1">
      <c r="A5" s="316">
        <v>1</v>
      </c>
      <c r="B5" s="317" t="s">
        <v>2095</v>
      </c>
      <c r="C5" s="318">
        <f ca="1">C6+C10+C12</f>
        <v>356846</v>
      </c>
      <c r="D5" s="2741" t="s">
        <v>2817</v>
      </c>
      <c r="E5" s="1209"/>
      <c r="F5" s="1378"/>
      <c r="G5" s="1233"/>
      <c r="H5" s="316">
        <v>1</v>
      </c>
      <c r="I5" s="317" t="s">
        <v>2095</v>
      </c>
      <c r="J5" s="318">
        <f ca="1">J6+J10+J12</f>
        <v>0</v>
      </c>
      <c r="K5" s="2328" t="s">
        <v>2096</v>
      </c>
      <c r="L5" s="1209"/>
      <c r="M5" s="1378"/>
    </row>
    <row r="6" spans="1:37" ht="18" customHeight="1">
      <c r="A6" s="1379" t="s">
        <v>2097</v>
      </c>
      <c r="B6" s="2016" t="s">
        <v>2098</v>
      </c>
      <c r="C6" s="318">
        <f>ROUND(F6*F8*F7*(1-F9),0)</f>
        <v>356400</v>
      </c>
      <c r="D6" s="80" t="s">
        <v>2791</v>
      </c>
      <c r="E6" s="319" t="s">
        <v>2099</v>
      </c>
      <c r="F6" s="320">
        <f>'数据-取费表'!B29</f>
        <v>33000</v>
      </c>
      <c r="G6" s="1233"/>
      <c r="H6" s="1379" t="s">
        <v>2097</v>
      </c>
      <c r="I6" s="2016" t="s">
        <v>2098</v>
      </c>
      <c r="J6" s="318">
        <f>ROUND(M6*M8*M7*(1-M9),0)</f>
        <v>0</v>
      </c>
      <c r="K6" s="80" t="s">
        <v>2791</v>
      </c>
      <c r="L6" s="319" t="s">
        <v>2099</v>
      </c>
      <c r="M6" s="320">
        <f>'数据-取费表'!B36</f>
        <v>0</v>
      </c>
    </row>
    <row r="7" spans="1:37" ht="18" customHeight="1">
      <c r="A7" s="1442"/>
      <c r="B7" s="322"/>
      <c r="C7" s="323"/>
      <c r="D7" s="324"/>
      <c r="E7" s="319" t="s">
        <v>2100</v>
      </c>
      <c r="F7" s="320">
        <f>IF('数据-取费表'!B41="",IF(D1="仅计算典型户型",'数据-取费表'!E5,'数据-取费表'!B5),'数据-取费表'!B41)</f>
        <v>1</v>
      </c>
      <c r="G7" s="1233"/>
      <c r="H7" s="321"/>
      <c r="I7" s="322"/>
      <c r="J7" s="323"/>
      <c r="K7" s="324"/>
      <c r="L7" s="319" t="s">
        <v>2100</v>
      </c>
      <c r="M7" s="320">
        <f>IF('数据-取费表'!B41="",IF(D1="仅计算典型户型",'数据-取费表'!E5,'数据-取费表'!B5),'数据-取费表'!B41)</f>
        <v>1</v>
      </c>
    </row>
    <row r="8" spans="1:37" ht="18" customHeight="1">
      <c r="A8" s="1442"/>
      <c r="B8" s="322"/>
      <c r="C8" s="323"/>
      <c r="D8" s="324"/>
      <c r="E8" s="319" t="s">
        <v>2101</v>
      </c>
      <c r="F8" s="320">
        <f>'数据-取费表'!B42</f>
        <v>12</v>
      </c>
      <c r="G8" s="1233"/>
      <c r="H8" s="321"/>
      <c r="I8" s="322"/>
      <c r="J8" s="323"/>
      <c r="K8" s="324"/>
      <c r="L8" s="319" t="s">
        <v>2102</v>
      </c>
      <c r="M8" s="320">
        <f>'数据-取费表'!B42</f>
        <v>12</v>
      </c>
    </row>
    <row r="9" spans="1:37" ht="18" customHeight="1">
      <c r="A9" s="1442"/>
      <c r="B9" s="322"/>
      <c r="C9" s="323"/>
      <c r="D9" s="328"/>
      <c r="E9" s="319" t="s">
        <v>2103</v>
      </c>
      <c r="F9" s="329">
        <f>'数据-取费表'!B32</f>
        <v>0.1</v>
      </c>
      <c r="G9" s="1233"/>
      <c r="H9" s="321"/>
      <c r="I9" s="322"/>
      <c r="J9" s="1381"/>
      <c r="K9" s="95"/>
      <c r="L9" s="330" t="s">
        <v>2103</v>
      </c>
      <c r="M9" s="329">
        <f>'数据-取费表'!B38</f>
        <v>0</v>
      </c>
    </row>
    <row r="10" spans="1:37" ht="18" customHeight="1">
      <c r="A10" s="1379" t="s">
        <v>2104</v>
      </c>
      <c r="B10" s="2329" t="s">
        <v>2105</v>
      </c>
      <c r="C10" s="1380">
        <f ca="1">ROUND(IF(F10="押一",C6/12*F11,IF(F10="押二",C6/12*2*F11,IF(F10="押三",C6/12*3*F11,C11*F11))),0)</f>
        <v>446</v>
      </c>
      <c r="D10" s="2330" t="s">
        <v>2799</v>
      </c>
      <c r="E10" s="330" t="s">
        <v>2106</v>
      </c>
      <c r="F10" s="2331" t="s">
        <v>2107</v>
      </c>
      <c r="G10" s="1233"/>
      <c r="H10" s="1379" t="s">
        <v>2104</v>
      </c>
      <c r="I10" s="2329" t="s">
        <v>2105</v>
      </c>
      <c r="J10" s="1380">
        <f ca="1">ROUND(IF(M10="押一",J6/12*M11,IF(M10="押二",J6/12*2*M11,IF(M10="押三",J6/12*3*M11,J11*M11))),0)</f>
        <v>0</v>
      </c>
      <c r="K10" s="80" t="s">
        <v>2799</v>
      </c>
      <c r="L10" s="330" t="s">
        <v>2106</v>
      </c>
      <c r="M10" s="2331"/>
    </row>
    <row r="11" spans="1:37" s="341" customFormat="1" ht="18" customHeight="1">
      <c r="A11" s="348"/>
      <c r="B11" s="2332" t="s">
        <v>2108</v>
      </c>
      <c r="C11" s="1413"/>
      <c r="D11" s="324"/>
      <c r="E11" s="330" t="s">
        <v>2109</v>
      </c>
      <c r="F11" s="331">
        <f ca="1">'数据-取费表'!B30</f>
        <v>1.4999999999999999E-2</v>
      </c>
      <c r="G11" s="1234"/>
      <c r="H11" s="325"/>
      <c r="I11" s="2332" t="s">
        <v>2110</v>
      </c>
      <c r="J11" s="1413"/>
      <c r="K11" s="324"/>
      <c r="L11" s="330" t="s">
        <v>2109</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2111</v>
      </c>
      <c r="B12" s="2333" t="s">
        <v>2112</v>
      </c>
      <c r="C12" s="1420"/>
      <c r="D12" s="2334"/>
      <c r="E12" s="1426"/>
      <c r="F12" s="1421"/>
      <c r="G12" s="1233"/>
      <c r="H12" s="1419" t="s">
        <v>2111</v>
      </c>
      <c r="I12" s="2333" t="s">
        <v>2112</v>
      </c>
      <c r="J12" s="1420"/>
      <c r="K12" s="1436"/>
      <c r="L12" s="1426"/>
      <c r="M12" s="1437"/>
    </row>
    <row r="13" spans="1:37" s="341" customFormat="1" ht="18" customHeight="1" thickTop="1">
      <c r="A13" s="1415">
        <v>2</v>
      </c>
      <c r="B13" s="1416" t="s">
        <v>2113</v>
      </c>
      <c r="C13" s="327">
        <f ca="1">ROUND(C29*F13,0)</f>
        <v>872553</v>
      </c>
      <c r="D13" s="1417" t="s">
        <v>2114</v>
      </c>
      <c r="E13" s="1417" t="s">
        <v>2115</v>
      </c>
      <c r="F13" s="1418">
        <f>'数据-取费表'!E20</f>
        <v>0.75</v>
      </c>
      <c r="G13" s="1234"/>
      <c r="H13" s="1415">
        <v>2</v>
      </c>
      <c r="I13" s="1416" t="s">
        <v>2113</v>
      </c>
      <c r="J13" s="1381">
        <f ca="1">ROUND(J14*J15,0)</f>
        <v>0</v>
      </c>
      <c r="K13" s="1422" t="s">
        <v>2114</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784770</v>
      </c>
      <c r="D14" s="1882" t="s">
        <v>2118</v>
      </c>
      <c r="E14" s="1883"/>
      <c r="F14" s="974"/>
      <c r="G14" s="1234"/>
      <c r="H14" s="337" t="s">
        <v>2097</v>
      </c>
      <c r="I14" s="319" t="s">
        <v>2119</v>
      </c>
      <c r="J14" s="14">
        <f ca="1">C29</f>
        <v>1163404</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23543</v>
      </c>
      <c r="D15" s="339" t="s">
        <v>2122</v>
      </c>
      <c r="E15" s="339" t="s">
        <v>2123</v>
      </c>
      <c r="F15" s="340">
        <f>'数据-取费表'!E21</f>
        <v>0.03</v>
      </c>
      <c r="G15" s="1233"/>
      <c r="H15" s="1425" t="s">
        <v>2124</v>
      </c>
      <c r="I15" s="1426" t="s">
        <v>2125</v>
      </c>
      <c r="J15" s="1438">
        <f>'数据-取费表'!B39</f>
        <v>0</v>
      </c>
      <c r="K15" s="1439"/>
      <c r="L15" s="1440"/>
      <c r="M15" s="1441"/>
    </row>
    <row r="16" spans="1:37" s="341" customFormat="1" ht="18" customHeight="1" thickTop="1">
      <c r="A16" s="337" t="s">
        <v>2126</v>
      </c>
      <c r="B16" s="319" t="s">
        <v>2127</v>
      </c>
      <c r="C16" s="14">
        <f>ROUND(C14*F16,0)</f>
        <v>15695</v>
      </c>
      <c r="D16" s="319" t="s">
        <v>2122</v>
      </c>
      <c r="E16" s="319" t="s">
        <v>2123</v>
      </c>
      <c r="F16" s="342">
        <f>IF('数据-取费表'!B10="住宅",'数据-取费表'!E22,0)</f>
        <v>0.02</v>
      </c>
      <c r="G16" s="1234"/>
      <c r="H16" s="1415" t="s">
        <v>14</v>
      </c>
      <c r="I16" s="1416" t="s">
        <v>2128</v>
      </c>
      <c r="J16" s="327">
        <f ca="1">ROUND(J17+J22+J23+J24,0)</f>
        <v>17451</v>
      </c>
      <c r="K16" s="1422" t="s">
        <v>2129</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52318</v>
      </c>
      <c r="D17" s="319" t="s">
        <v>2132</v>
      </c>
      <c r="E17" s="319" t="s">
        <v>2133</v>
      </c>
      <c r="F17" s="16">
        <f>'数据-取费表'!E23</f>
        <v>200</v>
      </c>
      <c r="G17" s="1234"/>
      <c r="H17" s="337" t="s">
        <v>2134</v>
      </c>
      <c r="I17" s="319" t="s">
        <v>2135</v>
      </c>
      <c r="J17" s="14">
        <f>ROUND(IF(项目基本情况!B7="自然人",J6*M17/(1+'数据-取费表'!F30),J18+J19+J20),0)</f>
        <v>0</v>
      </c>
      <c r="K17" s="1882" t="s">
        <v>2136</v>
      </c>
      <c r="L17" s="1887" t="s">
        <v>2137</v>
      </c>
      <c r="M17" s="343">
        <f>IF(项目基本情况!B7="企业","",IF('数据-取费表'!B10="住宅",5%,IF(M6*M7*M8/12/(1+'数据-取费表'!F30)&gt;20000,12%,7%)))</f>
        <v>0.05</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11772</v>
      </c>
      <c r="D18" s="319" t="s">
        <v>2122</v>
      </c>
      <c r="E18" s="319" t="s">
        <v>2123</v>
      </c>
      <c r="F18" s="342">
        <f>'数据-取费表'!E24</f>
        <v>1.4999999999999999E-2</v>
      </c>
      <c r="G18" s="1233"/>
      <c r="H18" s="337" t="s">
        <v>2140</v>
      </c>
      <c r="I18" s="319" t="s">
        <v>2141</v>
      </c>
      <c r="J18" s="14" t="str">
        <f>IF(项目基本情况!B7="自然人","——",ROUND(J6*M18/(1+'数据-取费表'!F30),0))</f>
        <v>——</v>
      </c>
      <c r="K18" s="1887" t="s">
        <v>2819</v>
      </c>
      <c r="L18" s="319" t="s">
        <v>2123</v>
      </c>
      <c r="M18" s="342">
        <f>'数据-取费表'!E29</f>
        <v>5.6000000000000001E-2</v>
      </c>
    </row>
    <row r="19" spans="1:37" s="341" customFormat="1" ht="18" customHeight="1">
      <c r="A19" s="337" t="s">
        <v>2134</v>
      </c>
      <c r="B19" s="319" t="s">
        <v>2142</v>
      </c>
      <c r="C19" s="14">
        <f>SUM(C14:C18)</f>
        <v>888098</v>
      </c>
      <c r="D19" s="56" t="s">
        <v>2143</v>
      </c>
      <c r="E19" s="1892"/>
      <c r="F19" s="16"/>
      <c r="G19" s="1234"/>
      <c r="H19" s="337" t="s">
        <v>2120</v>
      </c>
      <c r="I19" s="319" t="s">
        <v>2144</v>
      </c>
      <c r="J19" s="14" t="str">
        <f>IF(项目基本情况!B7="自然人","——",IF(K19="按租金收入计税",ROUND(J6*M19/(1+'数据-取费表'!F30),0),ROUND(C29*M19*0.7,0)))</f>
        <v>——</v>
      </c>
      <c r="K19" s="2006" t="s">
        <v>2145</v>
      </c>
      <c r="L19" s="319" t="s">
        <v>2123</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2104</v>
      </c>
      <c r="B20" s="319" t="s">
        <v>2146</v>
      </c>
      <c r="C20" s="14">
        <f>ROUND(C19*F20,0)</f>
        <v>17762</v>
      </c>
      <c r="D20" s="344" t="s">
        <v>2147</v>
      </c>
      <c r="E20" s="319" t="s">
        <v>2148</v>
      </c>
      <c r="F20" s="342">
        <f>'数据-取费表'!E25</f>
        <v>0.02</v>
      </c>
      <c r="G20" s="1234"/>
      <c r="H20" s="337" t="s">
        <v>2126</v>
      </c>
      <c r="I20" s="80" t="s">
        <v>2149</v>
      </c>
      <c r="J20" s="15" t="str">
        <f>IF(项目基本情况!B7="自然人","——",ROUND(M20*M21,0))</f>
        <v>——</v>
      </c>
      <c r="K20" s="346" t="s">
        <v>2150</v>
      </c>
      <c r="L20" s="319" t="s">
        <v>2151</v>
      </c>
      <c r="M20" s="347">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2">
        <f>F21</f>
        <v>0.02</v>
      </c>
      <c r="D21" s="344" t="s">
        <v>2154</v>
      </c>
      <c r="E21" s="319" t="s">
        <v>2155</v>
      </c>
      <c r="F21" s="342">
        <f>'数据-取费表'!E26</f>
        <v>0.02</v>
      </c>
      <c r="G21" s="1233"/>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2"/>
      <c r="F22" s="16"/>
      <c r="G22" s="1233"/>
      <c r="H22" s="337" t="s">
        <v>2124</v>
      </c>
      <c r="I22" s="319" t="s">
        <v>2159</v>
      </c>
      <c r="J22" s="14">
        <f ca="1">ROUND(J14*M22,0)</f>
        <v>17451</v>
      </c>
      <c r="K22" s="1887"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32083</v>
      </c>
      <c r="D23" s="2000" t="str">
        <f>IF(F23&lt;=1,"(建造成本+管理费用)×利率×(建设周期÷2)","(建造成本+管理费用)×((1+利率)^(建设周期÷2)-1)")</f>
        <v>(建造成本+管理费用)×((1+利率)^(建设周期÷2)-1)</v>
      </c>
      <c r="E23" s="319" t="s">
        <v>2162</v>
      </c>
      <c r="F23" s="347">
        <f>'数据-取费表'!B21</f>
        <v>1.5</v>
      </c>
      <c r="G23" s="1233"/>
      <c r="H23" s="337" t="s">
        <v>2152</v>
      </c>
      <c r="I23" s="319" t="s">
        <v>2163</v>
      </c>
      <c r="J23" s="14">
        <f ca="1">ROUND(J13*M23,0)</f>
        <v>0</v>
      </c>
      <c r="K23" s="1887" t="s">
        <v>2164</v>
      </c>
      <c r="L23" s="319" t="s">
        <v>2165</v>
      </c>
      <c r="M23" s="351">
        <f>'数据-取费表'!B45</f>
        <v>1.5E-3</v>
      </c>
    </row>
    <row r="24" spans="1:37" s="341" customFormat="1" ht="18" customHeight="1" thickBot="1">
      <c r="A24" s="337" t="s">
        <v>2166</v>
      </c>
      <c r="B24" s="319" t="s">
        <v>2167</v>
      </c>
      <c r="C24" s="14">
        <f ca="1">ROUND(IF('数据-取费表'!B23&lt;=1,F21*F24*F23/2,F21*(POWER((1+F24),F23/2)-1)),4)</f>
        <v>6.9999999999999999E-4</v>
      </c>
      <c r="D24" s="2000" t="str">
        <f>IF(F23&lt;=1,"销售费用×利率×(建设周期÷2)","销售费用×((1+利率)^(建设周期÷2)-1)")</f>
        <v>销售费用×((1+利率)^(建设周期÷2)-1)</v>
      </c>
      <c r="E24" s="319" t="s">
        <v>2168</v>
      </c>
      <c r="F24" s="352">
        <f ca="1">'数据-取费表'!E27</f>
        <v>4.7500000000000001E-2</v>
      </c>
      <c r="G24" s="1234"/>
      <c r="H24" s="1425" t="s">
        <v>2157</v>
      </c>
      <c r="I24" s="1426" t="s">
        <v>2146</v>
      </c>
      <c r="J24" s="1427">
        <f ca="1">ROUND(J5*M24,0)</f>
        <v>0</v>
      </c>
      <c r="K24" s="1428" t="s">
        <v>2169</v>
      </c>
      <c r="L24" s="1426" t="s">
        <v>2165</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92"/>
      <c r="F25" s="16"/>
      <c r="G25" s="1234"/>
      <c r="H25" s="1415" t="s">
        <v>22</v>
      </c>
      <c r="I25" s="1430" t="s">
        <v>2173</v>
      </c>
      <c r="J25" s="327">
        <f ca="1">J5-J16</f>
        <v>-17451</v>
      </c>
      <c r="K25" s="1431" t="s">
        <v>2174</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135879</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5" t="s">
        <v>2190</v>
      </c>
      <c r="B29" s="1426" t="s">
        <v>2191</v>
      </c>
      <c r="C29" s="1427">
        <f ca="1">ROUND((C19+C20+C23+C26)/(1-F21-C24-C27-C28),0)</f>
        <v>1163404</v>
      </c>
      <c r="D29" s="1428"/>
      <c r="E29" s="1426"/>
      <c r="F29" s="1429"/>
      <c r="G29" s="790"/>
      <c r="H29" s="356" t="s">
        <v>24</v>
      </c>
      <c r="I29" s="357" t="s">
        <v>2192</v>
      </c>
      <c r="J29" s="358">
        <f ca="1">ROUND(J26/(1+F40)^F41,0)</f>
        <v>0</v>
      </c>
      <c r="K29" s="359" t="s">
        <v>2193</v>
      </c>
      <c r="L29" s="360"/>
      <c r="M29" s="361">
        <f>IF(D1="仅计算典型户型",'数据-取费表'!E5,'数据-取费表'!B5)</f>
        <v>261.58999999999997</v>
      </c>
    </row>
    <row r="30" spans="1:37" ht="18" customHeight="1" thickTop="1">
      <c r="A30" s="1415" t="s">
        <v>14</v>
      </c>
      <c r="B30" s="1416" t="s">
        <v>2194</v>
      </c>
      <c r="C30" s="327">
        <f ca="1">ROUND(C31+C36+C37+C38,0)</f>
        <v>39299</v>
      </c>
      <c r="D30" s="1422" t="s">
        <v>2195</v>
      </c>
      <c r="E30" s="1423"/>
      <c r="F30" s="1424"/>
      <c r="G30" s="790"/>
      <c r="H30" s="1213"/>
      <c r="I30" s="1214"/>
      <c r="J30" s="1215"/>
      <c r="K30" s="1216"/>
      <c r="L30" s="1217"/>
      <c r="M30" s="1218"/>
    </row>
    <row r="31" spans="1:37" ht="18" customHeight="1">
      <c r="A31" s="337" t="s">
        <v>2097</v>
      </c>
      <c r="B31" s="319" t="s">
        <v>2135</v>
      </c>
      <c r="C31" s="14">
        <f>ROUND(IF(项目基本情况!B7="自然人",C6*F31/(1+'数据-取费表'!F30),C32+C33+C34),0)</f>
        <v>16971</v>
      </c>
      <c r="D31" s="1882" t="s">
        <v>2196</v>
      </c>
      <c r="E31" s="1887" t="s">
        <v>2197</v>
      </c>
      <c r="F31" s="343">
        <f>IF(项目基本情况!B7="企业","",IF('数据-取费表'!B10="住宅",5%,IF(F6*F7*F8/12/(1+'数据-取费表'!F30)&gt;20000,12%,7%)))</f>
        <v>0.05</v>
      </c>
      <c r="G31" s="790"/>
      <c r="H31" s="1213"/>
      <c r="I31" s="1214"/>
      <c r="J31" s="1215"/>
      <c r="K31" s="1216"/>
      <c r="L31" s="1217"/>
      <c r="M31" s="1218"/>
    </row>
    <row r="32" spans="1:37" ht="18" customHeight="1">
      <c r="A32" s="337" t="s">
        <v>2116</v>
      </c>
      <c r="B32" s="319" t="s">
        <v>2198</v>
      </c>
      <c r="C32" s="14" t="str">
        <f>IF(项目基本情况!B7="自然人","——",ROUND(C6*F32/(1+'数据-取费表'!F30),0))</f>
        <v>——</v>
      </c>
      <c r="D32" s="1887" t="s">
        <v>2818</v>
      </c>
      <c r="E32" s="319" t="s">
        <v>2148</v>
      </c>
      <c r="F32" s="352">
        <f>'数据-取费表'!E29</f>
        <v>5.6000000000000001E-2</v>
      </c>
      <c r="G32" s="790"/>
      <c r="H32" s="1219"/>
      <c r="I32" s="1220"/>
      <c r="J32" s="1221"/>
      <c r="K32" s="1222"/>
      <c r="L32" s="1223"/>
      <c r="M32" s="1224"/>
    </row>
    <row r="33" spans="1:18" ht="18" customHeight="1">
      <c r="A33" s="337" t="s">
        <v>2120</v>
      </c>
      <c r="B33" s="319" t="s">
        <v>2144</v>
      </c>
      <c r="C33" s="14" t="str">
        <f>IF(项目基本情况!B7="自然人","——",IF(D33="按租金收入计税",ROUND(C6*F33/(1+'数据-取费表'!F30),0),IF(D33="按房产原值计税",ROUND(C29*F33*0.7,0),'数据-取费表'!B43)))</f>
        <v>——</v>
      </c>
      <c r="D33" s="2006" t="s">
        <v>2903</v>
      </c>
      <c r="E33" s="319" t="s">
        <v>2123</v>
      </c>
      <c r="F33" s="342">
        <f>IF(D33="按票据","——",IF(D33="按租金收入计税",'数据-取费表'!E39,'数据-取费表'!E38))</f>
        <v>0.12</v>
      </c>
      <c r="G33" s="790"/>
      <c r="H33" s="1225"/>
      <c r="I33" s="363" t="s">
        <v>2200</v>
      </c>
      <c r="J33" s="364"/>
      <c r="K33" s="1226"/>
      <c r="L33" s="1225"/>
      <c r="M33" s="1225"/>
    </row>
    <row r="34" spans="1:18" ht="18" customHeight="1">
      <c r="A34" s="1379" t="s">
        <v>2126</v>
      </c>
      <c r="B34" s="80" t="s">
        <v>2149</v>
      </c>
      <c r="C34" s="15" t="str">
        <f>IF(项目基本情况!B7="自然人","——",ROUND(F34*F35,0))</f>
        <v>——</v>
      </c>
      <c r="D34" s="346" t="s">
        <v>2150</v>
      </c>
      <c r="E34" s="319" t="s">
        <v>2151</v>
      </c>
      <c r="F34" s="347">
        <f>'数据-取费表'!E40</f>
        <v>0</v>
      </c>
      <c r="G34" s="790"/>
      <c r="H34" s="1213"/>
      <c r="I34" s="365" t="s">
        <v>2201</v>
      </c>
      <c r="J34" s="366">
        <f ca="1">ROUND(C13*J35,0)</f>
        <v>74167</v>
      </c>
      <c r="K34" s="1227"/>
      <c r="L34" s="1228"/>
      <c r="M34" s="1228"/>
    </row>
    <row r="35" spans="1:18" ht="24.6" customHeight="1">
      <c r="A35" s="1383"/>
      <c r="B35" s="328"/>
      <c r="C35" s="19"/>
      <c r="D35" s="349"/>
      <c r="E35" s="319" t="s">
        <v>2156</v>
      </c>
      <c r="F35" s="320">
        <f>IF(D1="仅计算典型户型",'数据-取费表'!E6,'数据-取费表'!B6)</f>
        <v>0</v>
      </c>
      <c r="G35" s="790"/>
      <c r="H35" s="1213"/>
      <c r="I35" s="367" t="s">
        <v>2202</v>
      </c>
      <c r="J35" s="368">
        <f>'数据-取费表'!B17</f>
        <v>8.5000000000000006E-2</v>
      </c>
      <c r="K35" s="1226"/>
      <c r="L35" s="1225"/>
      <c r="M35" s="1225"/>
    </row>
    <row r="36" spans="1:18" ht="18" customHeight="1">
      <c r="A36" s="1382" t="s">
        <v>2104</v>
      </c>
      <c r="B36" s="319" t="s">
        <v>2203</v>
      </c>
      <c r="C36" s="14">
        <f ca="1">ROUND(C29*F36,0)</f>
        <v>17451</v>
      </c>
      <c r="D36" s="1887" t="s">
        <v>2204</v>
      </c>
      <c r="E36" s="319" t="s">
        <v>2148</v>
      </c>
      <c r="F36" s="350">
        <f>'数据-取费表'!B44</f>
        <v>1.4999999999999999E-2</v>
      </c>
      <c r="G36" s="790"/>
      <c r="H36" s="1225"/>
      <c r="I36" s="369" t="s">
        <v>2205</v>
      </c>
      <c r="J36" s="370"/>
      <c r="K36" s="1229"/>
      <c r="L36" s="1225"/>
      <c r="M36" s="1225"/>
    </row>
    <row r="37" spans="1:18" ht="18" customHeight="1">
      <c r="A37" s="337" t="s">
        <v>2152</v>
      </c>
      <c r="B37" s="319" t="s">
        <v>2163</v>
      </c>
      <c r="C37" s="14">
        <f ca="1">ROUND(C13*F37,0)</f>
        <v>1309</v>
      </c>
      <c r="D37" s="1887" t="s">
        <v>2164</v>
      </c>
      <c r="E37" s="319" t="s">
        <v>2165</v>
      </c>
      <c r="F37" s="351">
        <f>'数据-取费表'!B45</f>
        <v>1.5E-3</v>
      </c>
      <c r="G37" s="790"/>
      <c r="H37" s="1225"/>
      <c r="I37" s="216" t="s">
        <v>2206</v>
      </c>
      <c r="J37" s="371"/>
      <c r="K37" s="1229"/>
      <c r="L37" s="1225"/>
      <c r="M37" s="1225"/>
    </row>
    <row r="38" spans="1:18" ht="18" customHeight="1" thickBot="1">
      <c r="A38" s="1425" t="s">
        <v>2157</v>
      </c>
      <c r="B38" s="1426" t="s">
        <v>2146</v>
      </c>
      <c r="C38" s="1427">
        <f ca="1">ROUND(C5*F38,0)</f>
        <v>3568</v>
      </c>
      <c r="D38" s="1428" t="s">
        <v>2169</v>
      </c>
      <c r="E38" s="1426" t="s">
        <v>2165</v>
      </c>
      <c r="F38" s="1421">
        <f>'数据-取费表'!B46</f>
        <v>0.01</v>
      </c>
      <c r="G38" s="790"/>
      <c r="H38" s="1225"/>
      <c r="I38" s="365" t="s">
        <v>2207</v>
      </c>
      <c r="J38" s="220">
        <f ca="1">ROUND(J34/C39,3)</f>
        <v>0.23400000000000001</v>
      </c>
      <c r="K38" s="1230"/>
      <c r="L38" s="1225"/>
      <c r="M38" s="1225"/>
    </row>
    <row r="39" spans="1:18" ht="18" customHeight="1" thickTop="1">
      <c r="A39" s="1415" t="s">
        <v>22</v>
      </c>
      <c r="B39" s="1430" t="s">
        <v>2208</v>
      </c>
      <c r="C39" s="327">
        <f ca="1">C5-C30</f>
        <v>317547</v>
      </c>
      <c r="D39" s="1431" t="s">
        <v>2209</v>
      </c>
      <c r="E39" s="1432"/>
      <c r="F39" s="1433"/>
      <c r="G39" s="790"/>
      <c r="H39" s="1225"/>
      <c r="I39" s="365" t="s">
        <v>2210</v>
      </c>
      <c r="J39" s="220">
        <f ca="1">1-J38</f>
        <v>0.76600000000000001</v>
      </c>
      <c r="K39" s="1230"/>
      <c r="L39" s="1225"/>
      <c r="M39" s="1225"/>
    </row>
    <row r="40" spans="1:18" s="790" customFormat="1" ht="18" customHeight="1">
      <c r="A40" s="316" t="s">
        <v>23</v>
      </c>
      <c r="B40" s="317" t="s">
        <v>2211</v>
      </c>
      <c r="C40" s="318">
        <f ca="1">ROUND(C39*(1-((1+F42)/(1+F40))^F41)/(F40-F42),0)</f>
        <v>11070498</v>
      </c>
      <c r="D40" s="346" t="s">
        <v>2179</v>
      </c>
      <c r="E40" s="319" t="s">
        <v>2180</v>
      </c>
      <c r="F40" s="329">
        <f>'数据-取费表'!B16</f>
        <v>4.4999999999999998E-2</v>
      </c>
      <c r="H40" s="1231"/>
      <c r="I40" s="216" t="s">
        <v>2212</v>
      </c>
      <c r="J40" s="217"/>
      <c r="K40" s="1230"/>
      <c r="L40" s="1231"/>
      <c r="M40" s="1231"/>
      <c r="Q40" s="794"/>
    </row>
    <row r="41" spans="1:18" s="790" customFormat="1" ht="18" customHeight="1">
      <c r="A41" s="321"/>
      <c r="B41" s="322"/>
      <c r="C41" s="323"/>
      <c r="D41" s="354" t="s">
        <v>2213</v>
      </c>
      <c r="E41" s="1820" t="s">
        <v>2802</v>
      </c>
      <c r="F41" s="355">
        <f>IF('数据-取费表'!B28="租赁期内按合同租金",'数据-取费表'!B34,IF(E41="收益年期(n)",'数据-取费表'!B33,'数据-取费表'!B13))</f>
        <v>51.19</v>
      </c>
      <c r="H41" s="1232"/>
      <c r="I41" s="219" t="s">
        <v>2085</v>
      </c>
      <c r="J41" s="220">
        <f ca="1">ROUND(C13/C40,3)</f>
        <v>7.9000000000000001E-2</v>
      </c>
      <c r="K41" s="1229"/>
      <c r="L41" s="1232"/>
      <c r="M41" s="1232"/>
      <c r="Q41" s="794"/>
    </row>
    <row r="42" spans="1:18" s="790" customFormat="1" ht="18" customHeight="1">
      <c r="A42" s="325"/>
      <c r="B42" s="326"/>
      <c r="C42" s="327"/>
      <c r="D42" s="349"/>
      <c r="E42" s="319" t="s">
        <v>2189</v>
      </c>
      <c r="F42" s="329">
        <f>'数据-取费表'!B31</f>
        <v>0.03</v>
      </c>
      <c r="H42" s="1232"/>
      <c r="I42" s="219" t="s">
        <v>2086</v>
      </c>
      <c r="J42" s="221">
        <f ca="1">1-J41</f>
        <v>0.92100000000000004</v>
      </c>
      <c r="K42" s="1229"/>
      <c r="L42" s="1232"/>
      <c r="M42" s="1232"/>
      <c r="Q42" s="794"/>
    </row>
    <row r="43" spans="1:18" s="790" customFormat="1" ht="18" customHeight="1" thickBot="1">
      <c r="A43" s="356" t="s">
        <v>24</v>
      </c>
      <c r="B43" s="357" t="s">
        <v>2214</v>
      </c>
      <c r="C43" s="358">
        <f ca="1">ROUND(C40/F43,0)</f>
        <v>42320</v>
      </c>
      <c r="D43" s="359" t="s">
        <v>2215</v>
      </c>
      <c r="E43" s="360" t="s">
        <v>2216</v>
      </c>
      <c r="F43" s="361">
        <f>IF(D1="仅计算典型户型",'数据-取费表'!E5,'数据-取费表'!B5)</f>
        <v>261.58999999999997</v>
      </c>
      <c r="G43" s="792"/>
      <c r="H43" s="1232"/>
      <c r="I43" s="1232"/>
      <c r="J43" s="1232"/>
      <c r="K43" s="1229"/>
      <c r="L43" s="1232"/>
      <c r="M43" s="1232"/>
      <c r="O43" s="1356" t="s">
        <v>2217</v>
      </c>
      <c r="P43" s="1357"/>
      <c r="Q43" s="1353"/>
      <c r="R43" s="1357"/>
    </row>
    <row r="44" spans="1:18" s="790" customFormat="1" ht="18" customHeight="1" thickBot="1">
      <c r="A44" s="775"/>
      <c r="B44" s="775"/>
      <c r="C44" s="789"/>
      <c r="D44" s="775"/>
      <c r="E44" s="775"/>
      <c r="F44" s="775"/>
      <c r="G44" s="792"/>
      <c r="K44" s="791"/>
      <c r="O44" s="1358" t="s">
        <v>2218</v>
      </c>
      <c r="P44" s="1359" t="s">
        <v>2219</v>
      </c>
      <c r="Q44" s="1360" t="s">
        <v>2220</v>
      </c>
      <c r="R44" s="1361" t="s">
        <v>2221</v>
      </c>
    </row>
    <row r="45" spans="1:18" s="790" customFormat="1" ht="18" customHeight="1" thickBot="1">
      <c r="A45" s="775"/>
      <c r="B45" s="775"/>
      <c r="C45" s="789"/>
      <c r="D45" s="775"/>
      <c r="E45" s="775"/>
      <c r="F45" s="775"/>
      <c r="G45" s="793"/>
      <c r="K45" s="791"/>
      <c r="O45" s="1362" t="s">
        <v>953</v>
      </c>
      <c r="P45" s="1363" t="s">
        <v>2222</v>
      </c>
      <c r="Q45" s="1364">
        <f ca="1">C40+J29</f>
        <v>11070498</v>
      </c>
      <c r="R45" s="1365" t="s">
        <v>2223</v>
      </c>
    </row>
    <row r="46" spans="1:18" s="790" customFormat="1" ht="18" customHeight="1" thickBot="1">
      <c r="A46" s="775"/>
      <c r="D46" s="775"/>
      <c r="E46" s="775"/>
      <c r="F46" s="775"/>
      <c r="K46" s="791"/>
      <c r="O46" s="1362" t="s">
        <v>954</v>
      </c>
      <c r="P46" s="1363" t="s">
        <v>2224</v>
      </c>
      <c r="Q46" s="1364" t="str">
        <f>J61</f>
        <v>0</v>
      </c>
      <c r="R46" s="1365" t="s">
        <v>2225</v>
      </c>
    </row>
    <row r="47" spans="1:18" s="790" customFormat="1" ht="21.75" thickBot="1">
      <c r="A47" s="2335" t="s">
        <v>2226</v>
      </c>
      <c r="C47" s="1298">
        <f ca="1">IF(C2="元",C69-C40,ROUND((C69-C40)/10000,0))</f>
        <v>-11443589</v>
      </c>
      <c r="D47" s="2336" t="str">
        <f>C2</f>
        <v>元</v>
      </c>
      <c r="E47" s="775"/>
      <c r="F47" s="775"/>
      <c r="I47" s="2337" t="s">
        <v>2227</v>
      </c>
      <c r="J47" s="1338"/>
      <c r="K47" s="1339"/>
      <c r="L47" s="1352">
        <f>IF(M48="住宅",0,IF(L49&gt;J52,L61,J61))</f>
        <v>0</v>
      </c>
      <c r="O47" s="1366" t="s">
        <v>955</v>
      </c>
      <c r="P47" s="1363" t="s">
        <v>2228</v>
      </c>
      <c r="Q47" s="1364">
        <f ca="1">C29</f>
        <v>1163404</v>
      </c>
      <c r="R47" s="1365" t="s">
        <v>2223</v>
      </c>
    </row>
    <row r="48" spans="1:18" s="790" customFormat="1" ht="15.75" thickBot="1">
      <c r="A48" s="312" t="s">
        <v>2229</v>
      </c>
      <c r="B48" s="313" t="s">
        <v>2230</v>
      </c>
      <c r="C48" s="313" t="s">
        <v>2231</v>
      </c>
      <c r="D48" s="313" t="s">
        <v>2232</v>
      </c>
      <c r="E48" s="1292" t="s">
        <v>2233</v>
      </c>
      <c r="F48" s="1293"/>
      <c r="I48" s="2338" t="s">
        <v>2234</v>
      </c>
      <c r="J48" s="2339" t="s">
        <v>2893</v>
      </c>
      <c r="K48" s="2340" t="s">
        <v>2235</v>
      </c>
      <c r="L48" s="1340">
        <f>'数据-取费表'!B11</f>
        <v>70</v>
      </c>
      <c r="M48" s="1353" t="str">
        <f>IF('数据-取费表'!B10="住宅","住宅","非住宅")</f>
        <v>住宅</v>
      </c>
      <c r="O48" s="1366" t="s">
        <v>956</v>
      </c>
      <c r="P48" s="1363" t="s">
        <v>2236</v>
      </c>
      <c r="Q48" s="1367" t="e">
        <f>J59</f>
        <v>#VALUE!</v>
      </c>
      <c r="R48" s="1365"/>
    </row>
    <row r="49" spans="1:18" s="790" customFormat="1" ht="15.75" thickBot="1">
      <c r="A49" s="1452" t="s">
        <v>1026</v>
      </c>
      <c r="B49" s="317" t="s">
        <v>2237</v>
      </c>
      <c r="C49" s="1453">
        <f ca="1">C50+C54+C56</f>
        <v>0</v>
      </c>
      <c r="D49" s="1454"/>
      <c r="E49" s="101"/>
      <c r="F49" s="16"/>
      <c r="I49" s="2341" t="s">
        <v>2238</v>
      </c>
      <c r="J49" s="2342" t="s">
        <v>2901</v>
      </c>
      <c r="K49" s="2343" t="s">
        <v>2239</v>
      </c>
      <c r="L49" s="1123">
        <f>'数据-取费表'!B13</f>
        <v>51.19</v>
      </c>
      <c r="O49" s="1366" t="s">
        <v>957</v>
      </c>
      <c r="P49" s="1363" t="s">
        <v>2240</v>
      </c>
      <c r="Q49" s="1367">
        <f>J53</f>
        <v>0</v>
      </c>
      <c r="R49" s="1365"/>
    </row>
    <row r="50" spans="1:18" s="790" customFormat="1" ht="15.75" thickBot="1">
      <c r="A50" s="345" t="s">
        <v>2097</v>
      </c>
      <c r="B50" s="2016" t="s">
        <v>2241</v>
      </c>
      <c r="C50" s="318">
        <f>ROUND(F50*F52*F51*(1-F53),0)</f>
        <v>0</v>
      </c>
      <c r="D50" s="93" t="s">
        <v>2792</v>
      </c>
      <c r="E50" s="2344" t="s">
        <v>2242</v>
      </c>
      <c r="F50" s="1294"/>
      <c r="I50" s="2341" t="s">
        <v>2243</v>
      </c>
      <c r="J50" s="1123">
        <f>'数据-取费表'!B26</f>
        <v>2002</v>
      </c>
      <c r="K50" s="2345" t="s">
        <v>2244</v>
      </c>
      <c r="L50" s="1341"/>
      <c r="O50" s="1366" t="s">
        <v>958</v>
      </c>
      <c r="P50" s="1363" t="s">
        <v>2245</v>
      </c>
      <c r="Q50" s="1364">
        <f>J54</f>
        <v>51.19</v>
      </c>
      <c r="R50" s="1365" t="s">
        <v>2246</v>
      </c>
    </row>
    <row r="51" spans="1:18" s="790" customFormat="1" ht="15.75" thickBot="1">
      <c r="A51" s="321"/>
      <c r="B51" s="322"/>
      <c r="C51" s="323"/>
      <c r="D51" s="324"/>
      <c r="E51" s="339" t="s">
        <v>2100</v>
      </c>
      <c r="F51" s="1291">
        <f>F7</f>
        <v>1</v>
      </c>
      <c r="I51" s="2341" t="s">
        <v>2247</v>
      </c>
      <c r="J51" s="1342">
        <f>SUMPRODUCT((I64:I66=J48)*(J63:L63=J49)*(J64:L66))</f>
        <v>60</v>
      </c>
      <c r="K51" s="2345" t="s">
        <v>2248</v>
      </c>
      <c r="L51" s="1341"/>
      <c r="O51" s="1362" t="s">
        <v>959</v>
      </c>
      <c r="P51" s="1363" t="str">
        <f>IF(C2="元","收益价值(元)","收益价值(万元)")</f>
        <v>收益价值(元)</v>
      </c>
      <c r="Q51" s="1364">
        <f ca="1">ROUND(IF(C2="元",Q45+Q46,(Q45+Q46)/10000),0)</f>
        <v>11070498</v>
      </c>
      <c r="R51" s="1365" t="s">
        <v>960</v>
      </c>
    </row>
    <row r="52" spans="1:18" s="790" customFormat="1" ht="16.5" thickBot="1">
      <c r="A52" s="321"/>
      <c r="B52" s="322"/>
      <c r="C52" s="323"/>
      <c r="D52" s="324"/>
      <c r="E52" s="319" t="s">
        <v>2102</v>
      </c>
      <c r="F52" s="320">
        <f>F8</f>
        <v>12</v>
      </c>
      <c r="I52" s="2346" t="s">
        <v>2249</v>
      </c>
      <c r="J52" s="1343">
        <f>IF(J50="",J51,J50+J51-YEAR('数据-取费表'!B2))</f>
        <v>42</v>
      </c>
      <c r="K52" s="2347" t="s">
        <v>2250</v>
      </c>
      <c r="L52" s="1344">
        <f ca="1">ROUND(-PV('数据-取费表'!B15,L49,(C40-C13*J35)),0)</f>
        <v>237989169</v>
      </c>
      <c r="O52" s="1356" t="s">
        <v>2251</v>
      </c>
      <c r="P52" s="1357"/>
      <c r="Q52" s="1353"/>
      <c r="R52" s="1357"/>
    </row>
    <row r="53" spans="1:18" s="790" customFormat="1" ht="15.75" thickBot="1">
      <c r="A53" s="325"/>
      <c r="B53" s="326"/>
      <c r="C53" s="327"/>
      <c r="D53" s="328"/>
      <c r="E53" s="319" t="s">
        <v>2103</v>
      </c>
      <c r="F53" s="1351"/>
      <c r="I53" s="2348" t="s">
        <v>2252</v>
      </c>
      <c r="J53" s="1345"/>
      <c r="K53" s="2348" t="s">
        <v>2253</v>
      </c>
      <c r="L53" s="1345"/>
      <c r="O53" s="1358" t="s">
        <v>2218</v>
      </c>
      <c r="P53" s="1359" t="s">
        <v>2219</v>
      </c>
      <c r="Q53" s="1360" t="s">
        <v>2220</v>
      </c>
      <c r="R53" s="1361" t="s">
        <v>2221</v>
      </c>
    </row>
    <row r="54" spans="1:18" s="790" customFormat="1" ht="29.25" customHeight="1" thickBot="1">
      <c r="A54" s="1379" t="s">
        <v>2104</v>
      </c>
      <c r="B54" s="2329" t="s">
        <v>2105</v>
      </c>
      <c r="C54" s="1380">
        <f ca="1">ROUND(IF(F54="押一",C50/12*F11,IF(F54="押二",C50/12*2*F11,IF(F54="押三",C50/12*3*F11,C55*F11))),0)</f>
        <v>0</v>
      </c>
      <c r="D54" s="2330" t="s">
        <v>2800</v>
      </c>
      <c r="E54" s="330" t="s">
        <v>2106</v>
      </c>
      <c r="F54" s="2331"/>
      <c r="I54" s="2710" t="s">
        <v>2803</v>
      </c>
      <c r="J54" s="1346">
        <f>IF(M48="住宅",IF(E1="——",MAX(J52,L49),MAX(J52,L49-'数据-取费表'!B25)),IF(E1="——",MIN(J52,L49),MIN(J52,L49-'数据-取费表'!B25)))</f>
        <v>51.19</v>
      </c>
      <c r="K54" s="3021" t="s">
        <v>2790</v>
      </c>
      <c r="L54" s="3022"/>
      <c r="O54" s="1362" t="s">
        <v>953</v>
      </c>
      <c r="P54" s="1363" t="s">
        <v>2222</v>
      </c>
      <c r="Q54" s="1364">
        <f ca="1">C40+J29</f>
        <v>11070498</v>
      </c>
      <c r="R54" s="1365" t="s">
        <v>2223</v>
      </c>
    </row>
    <row r="55" spans="1:18" s="790" customFormat="1" ht="20.25" thickBot="1">
      <c r="A55" s="1379"/>
      <c r="B55" s="2349" t="s">
        <v>2110</v>
      </c>
      <c r="C55" s="1413"/>
      <c r="D55" s="93"/>
      <c r="E55" s="2350"/>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62" t="s">
        <v>954</v>
      </c>
      <c r="P55" s="1363" t="s">
        <v>2254</v>
      </c>
      <c r="Q55" s="1364">
        <f>L61</f>
        <v>0</v>
      </c>
      <c r="R55" s="1365" t="s">
        <v>2255</v>
      </c>
    </row>
    <row r="56" spans="1:18" s="790" customFormat="1" ht="20.25" thickBot="1">
      <c r="A56" s="1419" t="s">
        <v>2111</v>
      </c>
      <c r="B56" s="2333" t="s">
        <v>2112</v>
      </c>
      <c r="C56" s="1420"/>
      <c r="D56" s="1436"/>
      <c r="E56" s="2352"/>
      <c r="F56" s="1496"/>
      <c r="I56" s="2353" t="s">
        <v>2256</v>
      </c>
      <c r="J56" s="1866" t="e">
        <f>ROUND(IF(J48="钢混",J58/J51,1-(1-2%)*(J51-J58)/J51),3)</f>
        <v>#VALUE!</v>
      </c>
      <c r="K56" s="2354" t="s">
        <v>2257</v>
      </c>
      <c r="L56" s="1347"/>
      <c r="O56" s="1366" t="s">
        <v>955</v>
      </c>
      <c r="P56" s="1363" t="s">
        <v>2258</v>
      </c>
      <c r="Q56" s="1364">
        <f>IF(L56="比较法",L50,IF(L56="基准地价",L51,0))</f>
        <v>0</v>
      </c>
      <c r="R56" s="1365" t="s">
        <v>2223</v>
      </c>
    </row>
    <row r="57" spans="1:18" s="790" customFormat="1" ht="44.25" thickTop="1" thickBot="1">
      <c r="A57" s="1415">
        <v>2</v>
      </c>
      <c r="B57" s="1416" t="s">
        <v>2113</v>
      </c>
      <c r="C57" s="1495">
        <f ca="1">C13</f>
        <v>872553</v>
      </c>
      <c r="D57" s="1289"/>
      <c r="E57" s="1290"/>
      <c r="F57" s="1297"/>
      <c r="I57" s="2355" t="s">
        <v>2259</v>
      </c>
      <c r="J57" s="1350" t="s">
        <v>2812</v>
      </c>
      <c r="K57" s="2341" t="s">
        <v>2260</v>
      </c>
      <c r="L57" s="1123">
        <f>IF(L49&lt;J52,"——",L49-J52)</f>
        <v>9.1899999999999977</v>
      </c>
      <c r="O57" s="1366" t="s">
        <v>956</v>
      </c>
      <c r="P57" s="1363" t="s">
        <v>2261</v>
      </c>
      <c r="Q57" s="1367">
        <f>L53</f>
        <v>0</v>
      </c>
      <c r="R57" s="1365"/>
    </row>
    <row r="58" spans="1:18" s="790" customFormat="1" ht="29.25" thickBot="1">
      <c r="A58" s="1296"/>
      <c r="B58" s="319" t="s">
        <v>2191</v>
      </c>
      <c r="C58" s="188">
        <f ca="1">C29</f>
        <v>1163404</v>
      </c>
      <c r="D58" s="1289"/>
      <c r="E58" s="1290"/>
      <c r="F58" s="1297"/>
      <c r="I58" s="2356" t="s">
        <v>2262</v>
      </c>
      <c r="J58" s="1349" t="str">
        <f>IF(OR(M48="住宅",J52&lt;L49,J57="是"),"——",J52-L49)</f>
        <v>——</v>
      </c>
      <c r="K58" s="2341" t="s">
        <v>2263</v>
      </c>
      <c r="L58" s="1123">
        <f ca="1">IF(L49&lt;J52,"——",IF(L56="比较法",L50,IF(L56="基准地价",L51,L52)))</f>
        <v>237989169</v>
      </c>
      <c r="O58" s="1366" t="s">
        <v>957</v>
      </c>
      <c r="P58" s="1363" t="s">
        <v>2264</v>
      </c>
      <c r="Q58" s="1364" t="e">
        <f>L59</f>
        <v>#DIV/0!</v>
      </c>
      <c r="R58" s="1365" t="s">
        <v>2265</v>
      </c>
    </row>
    <row r="59" spans="1:18" s="790" customFormat="1" ht="29.25" thickBot="1">
      <c r="A59" s="332" t="s">
        <v>14</v>
      </c>
      <c r="B59" s="333" t="s">
        <v>2194</v>
      </c>
      <c r="C59" s="334">
        <f ca="1">ROUND(C60+C65+C66+C67,0)</f>
        <v>18760</v>
      </c>
      <c r="D59" s="12" t="s">
        <v>2195</v>
      </c>
      <c r="E59" s="1892"/>
      <c r="F59" s="16"/>
      <c r="I59" s="2356" t="s">
        <v>2266</v>
      </c>
      <c r="J59" s="1865" t="e">
        <f>IF(J56&lt;0.4,0.4,J56)</f>
        <v>#VALUE!</v>
      </c>
      <c r="K59" s="2347" t="s">
        <v>2267</v>
      </c>
      <c r="L59" s="1123" t="e">
        <f>ROUND(POWER(1+L53,L48-L49)*(POWER(1+L53,L49)-1)/(POWER(1+L53,L48)-1),4)</f>
        <v>#DIV/0!</v>
      </c>
      <c r="O59" s="1366" t="s">
        <v>958</v>
      </c>
      <c r="P59" s="1363" t="str">
        <f>K60</f>
        <v>建筑物剩余耐用年限下的土地年期修正系数Kn</v>
      </c>
      <c r="Q59" s="1364" t="e">
        <f>L60</f>
        <v>#DIV/0!</v>
      </c>
      <c r="R59" s="1365" t="s">
        <v>2268</v>
      </c>
    </row>
    <row r="60" spans="1:18" s="790" customFormat="1" ht="29.25" thickBot="1">
      <c r="A60" s="337" t="s">
        <v>15</v>
      </c>
      <c r="B60" s="319" t="s">
        <v>2135</v>
      </c>
      <c r="C60" s="14">
        <f ca="1">ROUND(IF(项目基本情况!B7="自然人",C49*F60,C61+C62+C63),0)</f>
        <v>0</v>
      </c>
      <c r="D60" s="1882" t="s">
        <v>2196</v>
      </c>
      <c r="E60" s="1887" t="s">
        <v>2197</v>
      </c>
      <c r="F60" s="343">
        <f>IF(项目基本情况!B7="企业","",IF('数据-取费表'!B10="住宅",5%,IF(F50*F51*F52/12/(1+'数据-取费表'!F30)&gt;20000,12%,7%)))</f>
        <v>0.05</v>
      </c>
      <c r="I60" s="2356" t="s">
        <v>2269</v>
      </c>
      <c r="J60" s="1349"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收益价值(元)</v>
      </c>
      <c r="Q60" s="1364">
        <f ca="1">ROUND(IF(C2="元",Q54+Q55,(Q54+Q55)/10000),0)</f>
        <v>11070498</v>
      </c>
      <c r="R60" s="1365" t="s">
        <v>960</v>
      </c>
    </row>
    <row r="61" spans="1:18" s="790" customFormat="1" ht="16.5" thickBot="1">
      <c r="A61" s="337" t="s">
        <v>16</v>
      </c>
      <c r="B61" s="319" t="s">
        <v>2198</v>
      </c>
      <c r="C61" s="14" t="str">
        <f>IF(项目基本情况!B7="自然人","——",ROUND(C49*F61/(1+'数据-取费表'!F30),0))</f>
        <v>——</v>
      </c>
      <c r="D61" s="1887" t="s">
        <v>2199</v>
      </c>
      <c r="E61" s="319" t="s">
        <v>2148</v>
      </c>
      <c r="F61" s="352">
        <f t="shared" ref="F61:F67" si="0">F32</f>
        <v>5.6000000000000001E-2</v>
      </c>
      <c r="I61" s="2357" t="s">
        <v>2270</v>
      </c>
      <c r="J61" s="1348" t="str">
        <f>IF(OR(M48="住宅",J52&lt;L49,J57="是"),"0",ROUND(J60/(1+J53)^J54,0))</f>
        <v>0</v>
      </c>
      <c r="K61" s="2358" t="s">
        <v>2271</v>
      </c>
      <c r="L61" s="1348">
        <f>IF(OR(M48="住宅",L49&lt;J52),0,ROUND(L58*(L59/L60-1),0))</f>
        <v>0</v>
      </c>
      <c r="O61" s="1356" t="s">
        <v>2272</v>
      </c>
      <c r="P61" s="1357"/>
      <c r="Q61" s="1353"/>
      <c r="R61" s="1357"/>
    </row>
    <row r="62" spans="1:18" s="790" customFormat="1" ht="15.75" thickBot="1">
      <c r="A62" s="337" t="s">
        <v>17</v>
      </c>
      <c r="B62" s="319" t="s">
        <v>2273</v>
      </c>
      <c r="C62" s="14" t="str">
        <f>IF(项目基本情况!B7="自然人","——",IF(D62="按租金收入计税",ROUND(C49*F62,0),IF(D62="按房产原值计税",ROUND(C58*F62*0.7,0),'数据-取费表'!B43)))</f>
        <v>——</v>
      </c>
      <c r="D62" s="2006" t="s">
        <v>2145</v>
      </c>
      <c r="E62" s="319" t="s">
        <v>2148</v>
      </c>
      <c r="F62" s="342">
        <f t="shared" si="0"/>
        <v>0.12</v>
      </c>
      <c r="O62" s="1358" t="s">
        <v>2218</v>
      </c>
      <c r="P62" s="1359" t="s">
        <v>2219</v>
      </c>
      <c r="Q62" s="1360" t="s">
        <v>2220</v>
      </c>
      <c r="R62" s="1361" t="s">
        <v>2221</v>
      </c>
    </row>
    <row r="63" spans="1:18" s="790" customFormat="1" ht="15.75" thickBot="1">
      <c r="A63" s="345" t="s">
        <v>18</v>
      </c>
      <c r="B63" s="80" t="s">
        <v>2274</v>
      </c>
      <c r="C63" s="15" t="str">
        <f>IF(项目基本情况!B7="自然人","——",ROUND(F63*F64,0))</f>
        <v>——</v>
      </c>
      <c r="D63" s="346" t="s">
        <v>2275</v>
      </c>
      <c r="E63" s="319" t="s">
        <v>2276</v>
      </c>
      <c r="F63" s="347">
        <f t="shared" si="0"/>
        <v>0</v>
      </c>
      <c r="I63" s="2359" t="s">
        <v>2277</v>
      </c>
      <c r="J63" s="1869" t="s">
        <v>2278</v>
      </c>
      <c r="K63" s="1869" t="s">
        <v>2279</v>
      </c>
      <c r="L63" s="1869" t="s">
        <v>2280</v>
      </c>
      <c r="M63" s="1868" t="s">
        <v>2281</v>
      </c>
      <c r="O63" s="1362" t="s">
        <v>953</v>
      </c>
      <c r="P63" s="1363" t="s">
        <v>2222</v>
      </c>
      <c r="Q63" s="1364">
        <f ca="1">C40+J29</f>
        <v>11070498</v>
      </c>
      <c r="R63" s="1365" t="s">
        <v>2223</v>
      </c>
    </row>
    <row r="64" spans="1:18" s="790" customFormat="1" ht="20.25" thickBot="1">
      <c r="A64" s="348"/>
      <c r="B64" s="328"/>
      <c r="C64" s="19"/>
      <c r="D64" s="349"/>
      <c r="E64" s="319" t="s">
        <v>2282</v>
      </c>
      <c r="F64" s="320">
        <f t="shared" si="0"/>
        <v>0</v>
      </c>
      <c r="I64" s="2359" t="s">
        <v>2283</v>
      </c>
      <c r="J64" s="1869">
        <v>70</v>
      </c>
      <c r="K64" s="1869">
        <v>50</v>
      </c>
      <c r="L64" s="1869">
        <v>80</v>
      </c>
      <c r="M64" s="1867">
        <v>0.02</v>
      </c>
      <c r="O64" s="1362" t="s">
        <v>954</v>
      </c>
      <c r="P64" s="1363" t="s">
        <v>2254</v>
      </c>
      <c r="Q64" s="1364">
        <f>L61</f>
        <v>0</v>
      </c>
      <c r="R64" s="1365" t="s">
        <v>2255</v>
      </c>
    </row>
    <row r="65" spans="1:18" s="790" customFormat="1" ht="23.25" thickBot="1">
      <c r="A65" s="337" t="s">
        <v>19</v>
      </c>
      <c r="B65" s="319" t="s">
        <v>2203</v>
      </c>
      <c r="C65" s="14">
        <f ca="1">ROUND(C58*F65,0)</f>
        <v>17451</v>
      </c>
      <c r="D65" s="1887" t="s">
        <v>2204</v>
      </c>
      <c r="E65" s="319" t="s">
        <v>2148</v>
      </c>
      <c r="F65" s="350">
        <f t="shared" si="0"/>
        <v>1.4999999999999999E-2</v>
      </c>
      <c r="I65" s="2359" t="s">
        <v>2284</v>
      </c>
      <c r="J65" s="1869">
        <v>50</v>
      </c>
      <c r="K65" s="1869">
        <v>35</v>
      </c>
      <c r="L65" s="1869">
        <v>60</v>
      </c>
      <c r="M65" s="1868">
        <v>0</v>
      </c>
      <c r="O65" s="1366" t="s">
        <v>955</v>
      </c>
      <c r="P65" s="1363" t="s">
        <v>2258</v>
      </c>
      <c r="Q65" s="1368">
        <f ca="1">L52</f>
        <v>237989169</v>
      </c>
      <c r="R65" s="1369" t="s">
        <v>2285</v>
      </c>
    </row>
    <row r="66" spans="1:18" s="790" customFormat="1" ht="20.25" thickBot="1">
      <c r="A66" s="337" t="s">
        <v>20</v>
      </c>
      <c r="B66" s="319" t="s">
        <v>2163</v>
      </c>
      <c r="C66" s="14">
        <f ca="1">ROUND(C57*F66,0)</f>
        <v>1309</v>
      </c>
      <c r="D66" s="1887" t="s">
        <v>2164</v>
      </c>
      <c r="E66" s="319" t="s">
        <v>2165</v>
      </c>
      <c r="F66" s="351">
        <f t="shared" si="0"/>
        <v>1.5E-3</v>
      </c>
      <c r="I66" s="2359" t="s">
        <v>2286</v>
      </c>
      <c r="J66" s="1869">
        <v>40</v>
      </c>
      <c r="K66" s="1869">
        <v>30</v>
      </c>
      <c r="L66" s="1869">
        <v>50</v>
      </c>
      <c r="M66" s="1867">
        <v>0.02</v>
      </c>
      <c r="O66" s="1366" t="s">
        <v>956</v>
      </c>
      <c r="P66" s="1370" t="s">
        <v>2287</v>
      </c>
      <c r="Q66" s="1364">
        <f ca="1">ROUND(Q67-Q68*Q69,0)</f>
        <v>243380</v>
      </c>
      <c r="R66" s="1365"/>
    </row>
    <row r="67" spans="1:18" s="790" customFormat="1" ht="15.75" thickBot="1">
      <c r="A67" s="337" t="s">
        <v>21</v>
      </c>
      <c r="B67" s="319" t="s">
        <v>2146</v>
      </c>
      <c r="C67" s="14">
        <f ca="1">ROUND(C49*F67,0)</f>
        <v>0</v>
      </c>
      <c r="D67" s="1887" t="s">
        <v>2169</v>
      </c>
      <c r="E67" s="319" t="s">
        <v>2165</v>
      </c>
      <c r="F67" s="329">
        <f t="shared" si="0"/>
        <v>0.01</v>
      </c>
      <c r="O67" s="1366" t="s">
        <v>961</v>
      </c>
      <c r="P67" s="1370" t="s">
        <v>2288</v>
      </c>
      <c r="Q67" s="1364">
        <f ca="1">C39</f>
        <v>317547</v>
      </c>
      <c r="R67" s="1365" t="s">
        <v>2223</v>
      </c>
    </row>
    <row r="68" spans="1:18" ht="15.75" thickBot="1">
      <c r="A68" s="332" t="s">
        <v>22</v>
      </c>
      <c r="B68" s="89" t="s">
        <v>2173</v>
      </c>
      <c r="C68" s="334">
        <f ca="1">C49-C59</f>
        <v>-18760</v>
      </c>
      <c r="D68" s="1882" t="s">
        <v>2174</v>
      </c>
      <c r="E68" s="1886"/>
      <c r="F68" s="353"/>
      <c r="H68" s="790"/>
      <c r="I68" s="790"/>
      <c r="J68" s="790"/>
      <c r="K68" s="790"/>
      <c r="L68" s="790"/>
      <c r="M68" s="790"/>
      <c r="O68" s="1366" t="s">
        <v>962</v>
      </c>
      <c r="P68" s="1370" t="s">
        <v>2289</v>
      </c>
      <c r="Q68" s="1364">
        <f ca="1">C13</f>
        <v>872553</v>
      </c>
      <c r="R68" s="1365" t="s">
        <v>2223</v>
      </c>
    </row>
    <row r="69" spans="1:18" ht="15.75" thickBot="1">
      <c r="A69" s="316" t="s">
        <v>23</v>
      </c>
      <c r="B69" s="317" t="s">
        <v>2211</v>
      </c>
      <c r="C69" s="318">
        <f ca="1">ROUND(C68*(1-((1+F71)/(1+F69))^F70)/(F69-F71),0)</f>
        <v>-373091</v>
      </c>
      <c r="D69" s="346" t="s">
        <v>2179</v>
      </c>
      <c r="E69" s="319" t="s">
        <v>2180</v>
      </c>
      <c r="F69" s="329">
        <f>F40</f>
        <v>4.4999999999999998E-2</v>
      </c>
      <c r="H69" s="790"/>
      <c r="I69" s="790"/>
      <c r="J69" s="790"/>
      <c r="K69" s="790"/>
      <c r="L69" s="790"/>
      <c r="M69" s="790"/>
      <c r="O69" s="1366" t="s">
        <v>963</v>
      </c>
      <c r="P69" s="1370" t="s">
        <v>2290</v>
      </c>
      <c r="Q69" s="1367">
        <f>J35</f>
        <v>8.5000000000000006E-2</v>
      </c>
      <c r="R69" s="1365"/>
    </row>
    <row r="70" spans="1:18" ht="15.75" thickBot="1">
      <c r="A70" s="321"/>
      <c r="B70" s="322"/>
      <c r="C70" s="323"/>
      <c r="D70" s="354" t="s">
        <v>2213</v>
      </c>
      <c r="E70" s="319" t="s">
        <v>2185</v>
      </c>
      <c r="F70" s="355">
        <f>F41</f>
        <v>51.19</v>
      </c>
      <c r="H70" s="790"/>
      <c r="I70" s="790"/>
      <c r="J70" s="790"/>
      <c r="K70" s="790"/>
      <c r="L70" s="790"/>
      <c r="M70" s="790"/>
      <c r="O70" s="1366" t="s">
        <v>957</v>
      </c>
      <c r="P70" s="1363" t="s">
        <v>2261</v>
      </c>
      <c r="Q70" s="1367">
        <f>L53</f>
        <v>0</v>
      </c>
      <c r="R70" s="1365"/>
    </row>
    <row r="71" spans="1:18" ht="20.25" thickBot="1">
      <c r="A71" s="325"/>
      <c r="B71" s="326"/>
      <c r="C71" s="327"/>
      <c r="D71" s="349"/>
      <c r="E71" s="319" t="s">
        <v>2189</v>
      </c>
      <c r="F71" s="1351"/>
      <c r="H71" s="790"/>
      <c r="M71" s="790"/>
      <c r="O71" s="1366" t="s">
        <v>958</v>
      </c>
      <c r="P71" s="1363" t="s">
        <v>2264</v>
      </c>
      <c r="Q71" s="1364" t="e">
        <f>L59</f>
        <v>#DIV/0!</v>
      </c>
      <c r="R71" s="1365" t="s">
        <v>2265</v>
      </c>
    </row>
    <row r="72" spans="1:18" ht="15.75" thickBot="1">
      <c r="A72" s="356" t="s">
        <v>24</v>
      </c>
      <c r="B72" s="357" t="s">
        <v>2214</v>
      </c>
      <c r="C72" s="358">
        <f ca="1">ROUND(C69/F72,0)</f>
        <v>-1426</v>
      </c>
      <c r="D72" s="359" t="s">
        <v>2215</v>
      </c>
      <c r="E72" s="360" t="s">
        <v>2216</v>
      </c>
      <c r="F72" s="361">
        <f>F43</f>
        <v>261.58999999999997</v>
      </c>
      <c r="O72" s="1366" t="s">
        <v>964</v>
      </c>
      <c r="P72" s="1363" t="str">
        <f>K60</f>
        <v>建筑物剩余耐用年限下的土地年期修正系数Kn</v>
      </c>
      <c r="Q72" s="1364" t="e">
        <f>L60</f>
        <v>#DIV/0!</v>
      </c>
      <c r="R72" s="1365" t="s">
        <v>2268</v>
      </c>
    </row>
    <row r="73" spans="1:18" ht="15.75" thickBot="1">
      <c r="A73" s="790"/>
      <c r="B73" s="794"/>
      <c r="C73" s="794"/>
      <c r="D73" s="790"/>
      <c r="E73" s="790"/>
      <c r="F73" s="790"/>
      <c r="O73" s="1362" t="s">
        <v>959</v>
      </c>
      <c r="P73" s="1363" t="str">
        <f>IF(C2="元","收益价值(元)","收益价值(万元)")</f>
        <v>收益价值(元)</v>
      </c>
      <c r="Q73" s="1364">
        <f ca="1">ROUND(IF(C2="元",Q63+Q64,(Q63+Q64)/10000),0)</f>
        <v>11070498</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1020</v>
      </c>
      <c r="B1" s="3024"/>
      <c r="C1" s="3025"/>
      <c r="D1" s="3026">
        <f>SUM(I10,I15,I20,I21,I23)</f>
        <v>0</v>
      </c>
      <c r="E1" s="3026"/>
      <c r="F1" s="3026"/>
      <c r="G1" s="3026"/>
      <c r="H1" s="3026"/>
      <c r="I1" s="3027"/>
    </row>
    <row r="2" spans="1:9">
      <c r="A2" s="3028" t="s">
        <v>1021</v>
      </c>
      <c r="B2" s="3029" t="s">
        <v>970</v>
      </c>
      <c r="C2" s="3029"/>
      <c r="D2" s="1384" t="s">
        <v>971</v>
      </c>
      <c r="E2" s="1384" t="s">
        <v>972</v>
      </c>
      <c r="F2" s="1384" t="s">
        <v>973</v>
      </c>
      <c r="G2" s="1384" t="s">
        <v>974</v>
      </c>
      <c r="H2" s="1384" t="s">
        <v>975</v>
      </c>
      <c r="I2" s="1385" t="s">
        <v>976</v>
      </c>
    </row>
    <row r="3" spans="1:9">
      <c r="A3" s="3028"/>
      <c r="B3" s="3029" t="s">
        <v>977</v>
      </c>
      <c r="C3" s="3029"/>
      <c r="D3" s="1386"/>
      <c r="E3" s="1384"/>
      <c r="F3" s="1387"/>
      <c r="G3" s="1387"/>
      <c r="H3" s="1388"/>
      <c r="I3" s="1389">
        <f>ROUND(D3*E3*F3*G3*H3/10000,0)</f>
        <v>0</v>
      </c>
    </row>
    <row r="4" spans="1:9">
      <c r="A4" s="3028"/>
      <c r="B4" s="3029" t="s">
        <v>978</v>
      </c>
      <c r="C4" s="3029"/>
      <c r="D4" s="1386"/>
      <c r="E4" s="1384"/>
      <c r="F4" s="1387"/>
      <c r="G4" s="1387"/>
      <c r="H4" s="1388"/>
      <c r="I4" s="1389">
        <f t="shared" ref="I4:I9" si="0">ROUND(D4*E4*F4*G4*H4/10000,0)</f>
        <v>0</v>
      </c>
    </row>
    <row r="5" spans="1:9">
      <c r="A5" s="3028"/>
      <c r="B5" s="3029" t="s">
        <v>979</v>
      </c>
      <c r="C5" s="3029"/>
      <c r="D5" s="1386"/>
      <c r="E5" s="1384"/>
      <c r="F5" s="1387"/>
      <c r="G5" s="1387"/>
      <c r="H5" s="1388"/>
      <c r="I5" s="1389">
        <f t="shared" si="0"/>
        <v>0</v>
      </c>
    </row>
    <row r="6" spans="1:9">
      <c r="A6" s="3028"/>
      <c r="B6" s="3029" t="s">
        <v>980</v>
      </c>
      <c r="C6" s="3029"/>
      <c r="D6" s="1386"/>
      <c r="E6" s="1384"/>
      <c r="F6" s="1387"/>
      <c r="G6" s="1387"/>
      <c r="H6" s="1388"/>
      <c r="I6" s="1389">
        <f t="shared" si="0"/>
        <v>0</v>
      </c>
    </row>
    <row r="7" spans="1:9">
      <c r="A7" s="3028"/>
      <c r="B7" s="3029" t="s">
        <v>981</v>
      </c>
      <c r="C7" s="3029"/>
      <c r="D7" s="1386"/>
      <c r="E7" s="1384"/>
      <c r="F7" s="1387"/>
      <c r="G7" s="1387"/>
      <c r="H7" s="1388"/>
      <c r="I7" s="1389">
        <f t="shared" si="0"/>
        <v>0</v>
      </c>
    </row>
    <row r="8" spans="1:9">
      <c r="A8" s="3028"/>
      <c r="B8" s="3029" t="s">
        <v>982</v>
      </c>
      <c r="C8" s="3029"/>
      <c r="D8" s="1386"/>
      <c r="E8" s="1384"/>
      <c r="F8" s="1387"/>
      <c r="G8" s="1387"/>
      <c r="H8" s="1388"/>
      <c r="I8" s="1389">
        <f t="shared" si="0"/>
        <v>0</v>
      </c>
    </row>
    <row r="9" spans="1:9">
      <c r="A9" s="3028"/>
      <c r="B9" s="3029" t="s">
        <v>983</v>
      </c>
      <c r="C9" s="3029"/>
      <c r="D9" s="1386"/>
      <c r="E9" s="1384"/>
      <c r="F9" s="1387"/>
      <c r="G9" s="1387"/>
      <c r="H9" s="1388"/>
      <c r="I9" s="1389">
        <f t="shared" si="0"/>
        <v>0</v>
      </c>
    </row>
    <row r="10" spans="1:9">
      <c r="A10" s="3028"/>
      <c r="B10" s="3030" t="s">
        <v>984</v>
      </c>
      <c r="C10" s="3030"/>
      <c r="D10" s="1390">
        <v>527</v>
      </c>
      <c r="E10" s="1390" t="e">
        <f>ROUND(D1*10000/D10/H9,0)</f>
        <v>#DIV/0!</v>
      </c>
      <c r="F10" s="1391"/>
      <c r="G10" s="1391"/>
      <c r="H10" s="1392"/>
      <c r="I10" s="1393">
        <f>SUM(I3:I9)</f>
        <v>0</v>
      </c>
    </row>
    <row r="11" spans="1:9" ht="14.25">
      <c r="A11" s="3028" t="s">
        <v>1022</v>
      </c>
      <c r="B11" s="3029" t="s">
        <v>985</v>
      </c>
      <c r="C11" s="3029"/>
      <c r="D11" s="1386" t="s">
        <v>986</v>
      </c>
      <c r="E11" s="1386" t="s">
        <v>987</v>
      </c>
      <c r="F11" s="1387" t="s">
        <v>988</v>
      </c>
      <c r="G11" s="1387" t="s">
        <v>975</v>
      </c>
      <c r="H11" s="1394" t="s">
        <v>989</v>
      </c>
      <c r="I11" s="1385" t="s">
        <v>976</v>
      </c>
    </row>
    <row r="12" spans="1:9">
      <c r="A12" s="3028"/>
      <c r="B12" s="3029" t="s">
        <v>990</v>
      </c>
      <c r="C12" s="3029"/>
      <c r="D12" s="1386"/>
      <c r="E12" s="1386"/>
      <c r="F12" s="1387"/>
      <c r="G12" s="1388"/>
      <c r="H12" s="1395"/>
      <c r="I12" s="1385">
        <f>ROUND(D12*E12*F12*G12/10000,0)</f>
        <v>0</v>
      </c>
    </row>
    <row r="13" spans="1:9">
      <c r="A13" s="3028"/>
      <c r="B13" s="3029" t="s">
        <v>991</v>
      </c>
      <c r="C13" s="3029"/>
      <c r="D13" s="1386"/>
      <c r="E13" s="1386"/>
      <c r="F13" s="1387"/>
      <c r="G13" s="1388"/>
      <c r="H13" s="1395"/>
      <c r="I13" s="1385">
        <f>ROUND(D13*E13*F13*G13/10000,0)</f>
        <v>0</v>
      </c>
    </row>
    <row r="14" spans="1:9">
      <c r="A14" s="3028"/>
      <c r="B14" s="3029" t="s">
        <v>992</v>
      </c>
      <c r="C14" s="3029"/>
      <c r="D14" s="1386"/>
      <c r="E14" s="1386"/>
      <c r="F14" s="1387"/>
      <c r="G14" s="1388"/>
      <c r="H14" s="1395"/>
      <c r="I14" s="1385">
        <f>ROUND(D14*E14*F14*G14/10000,0)</f>
        <v>0</v>
      </c>
    </row>
    <row r="15" spans="1:9">
      <c r="A15" s="3028"/>
      <c r="B15" s="3030" t="s">
        <v>984</v>
      </c>
      <c r="C15" s="3030"/>
      <c r="D15" s="1390"/>
      <c r="E15" s="1390">
        <f>SUM(E12:E14)</f>
        <v>0</v>
      </c>
      <c r="F15" s="1391"/>
      <c r="G15" s="1388"/>
      <c r="H15" s="1395"/>
      <c r="I15" s="1396">
        <f>SUM(I12:I14)</f>
        <v>0</v>
      </c>
    </row>
    <row r="16" spans="1:9" ht="24">
      <c r="A16" s="3028" t="s">
        <v>1023</v>
      </c>
      <c r="B16" s="3029" t="s">
        <v>993</v>
      </c>
      <c r="C16" s="3029"/>
      <c r="D16" s="1386" t="s">
        <v>971</v>
      </c>
      <c r="E16" s="1397" t="s">
        <v>994</v>
      </c>
      <c r="F16" s="1387" t="s">
        <v>995</v>
      </c>
      <c r="G16" s="1388" t="s">
        <v>975</v>
      </c>
      <c r="H16" s="1394" t="s">
        <v>989</v>
      </c>
      <c r="I16" s="1385" t="s">
        <v>976</v>
      </c>
    </row>
    <row r="17" spans="1:9" ht="14.25">
      <c r="A17" s="3028"/>
      <c r="B17" s="3029" t="s">
        <v>996</v>
      </c>
      <c r="C17" s="3029"/>
      <c r="D17" s="1386"/>
      <c r="E17" s="1386"/>
      <c r="F17" s="1387"/>
      <c r="G17" s="1388"/>
      <c r="H17" s="1398"/>
      <c r="I17" s="1399">
        <f>ROUND(D17*E17*F17*G17/10000,0)</f>
        <v>0</v>
      </c>
    </row>
    <row r="18" spans="1:9" ht="14.25">
      <c r="A18" s="3028"/>
      <c r="B18" s="3029" t="s">
        <v>997</v>
      </c>
      <c r="C18" s="3029"/>
      <c r="D18" s="1386"/>
      <c r="E18" s="1386"/>
      <c r="F18" s="1387"/>
      <c r="G18" s="1388"/>
      <c r="H18" s="1398"/>
      <c r="I18" s="1399">
        <f>ROUND(D18*E18*F18*G18/10000,0)</f>
        <v>0</v>
      </c>
    </row>
    <row r="19" spans="1:9" ht="14.25">
      <c r="A19" s="3028"/>
      <c r="B19" s="3029" t="s">
        <v>998</v>
      </c>
      <c r="C19" s="3029"/>
      <c r="D19" s="1386"/>
      <c r="E19" s="1386"/>
      <c r="F19" s="1387"/>
      <c r="G19" s="1388"/>
      <c r="H19" s="1398"/>
      <c r="I19" s="1399">
        <f>ROUND(D19*E19*F19*G19/10000,0)</f>
        <v>0</v>
      </c>
    </row>
    <row r="20" spans="1:9">
      <c r="A20" s="3028"/>
      <c r="B20" s="3030" t="s">
        <v>984</v>
      </c>
      <c r="C20" s="3030"/>
      <c r="D20" s="1390">
        <f>SUM(D17:D19)</f>
        <v>0</v>
      </c>
      <c r="E20" s="1390"/>
      <c r="F20" s="1391"/>
      <c r="G20" s="1388"/>
      <c r="H20" s="1395"/>
      <c r="I20" s="1396">
        <f>SUM(I17:I19)</f>
        <v>0</v>
      </c>
    </row>
    <row r="21" spans="1:9">
      <c r="A21" s="3028" t="s">
        <v>1024</v>
      </c>
      <c r="B21" s="3032"/>
      <c r="C21" s="3032"/>
      <c r="D21" s="3032"/>
      <c r="E21" s="3032"/>
      <c r="F21" s="3032"/>
      <c r="G21" s="3032"/>
      <c r="H21" s="1400">
        <v>0.1</v>
      </c>
      <c r="I21" s="1393">
        <f>ROUND(I10*H21,0)</f>
        <v>0</v>
      </c>
    </row>
    <row r="22" spans="1:9" ht="14.25">
      <c r="A22" s="3033" t="s">
        <v>1025</v>
      </c>
      <c r="B22" s="3034"/>
      <c r="C22" s="3035"/>
      <c r="D22" s="1401" t="s">
        <v>999</v>
      </c>
      <c r="E22" s="1401" t="s">
        <v>1000</v>
      </c>
      <c r="F22" s="1402" t="s">
        <v>975</v>
      </c>
      <c r="G22" s="1402" t="s">
        <v>1001</v>
      </c>
      <c r="H22" s="1394" t="s">
        <v>989</v>
      </c>
      <c r="I22" s="1385" t="s">
        <v>976</v>
      </c>
    </row>
    <row r="23" spans="1:9" ht="14.25" thickBot="1">
      <c r="A23" s="3036"/>
      <c r="B23" s="3037"/>
      <c r="C23" s="3038"/>
      <c r="D23" s="1403"/>
      <c r="E23" s="1403"/>
      <c r="F23" s="1403"/>
      <c r="G23" s="1404"/>
      <c r="H23" s="1405"/>
      <c r="I23" s="1406">
        <f>ROUND(E23*D23*F23*(1-G23)/10000,0)</f>
        <v>0</v>
      </c>
    </row>
    <row r="26" spans="1:9">
      <c r="A26" s="1407" t="s">
        <v>1002</v>
      </c>
      <c r="B26" s="1407"/>
      <c r="C26" s="1407"/>
      <c r="D26" s="1407"/>
      <c r="E26" s="3039">
        <f>C27-C30-C31-C32</f>
        <v>0</v>
      </c>
      <c r="F26" s="3039"/>
      <c r="G26" s="3039"/>
      <c r="H26" s="1824" t="s">
        <v>1213</v>
      </c>
    </row>
    <row r="27" spans="1:9">
      <c r="A27" s="1408">
        <v>1</v>
      </c>
      <c r="B27" s="1409" t="s">
        <v>1003</v>
      </c>
      <c r="C27" s="1409">
        <f>C28+C29</f>
        <v>0</v>
      </c>
      <c r="D27" s="1409"/>
      <c r="E27" s="3040"/>
      <c r="F27" s="3040"/>
      <c r="G27" s="3040"/>
    </row>
    <row r="28" spans="1:9">
      <c r="A28" s="1410" t="s">
        <v>1004</v>
      </c>
      <c r="B28" s="1409" t="s">
        <v>1005</v>
      </c>
      <c r="C28" s="1409"/>
      <c r="D28" s="1409"/>
      <c r="E28" s="3040"/>
      <c r="F28" s="3040"/>
      <c r="G28" s="3040"/>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31"/>
      <c r="F32" s="3031"/>
      <c r="G32" s="3031"/>
    </row>
    <row r="33" spans="1:7" hidden="1">
      <c r="A33" s="3041" t="s">
        <v>1014</v>
      </c>
      <c r="B33" s="3042"/>
      <c r="C33" s="3042"/>
      <c r="D33" s="3043"/>
      <c r="E33" s="3039"/>
      <c r="F33" s="3039"/>
      <c r="G33" s="3039"/>
    </row>
    <row r="34" spans="1:7" hidden="1">
      <c r="A34" s="1412">
        <v>1</v>
      </c>
      <c r="B34" s="1409" t="s">
        <v>1015</v>
      </c>
      <c r="C34" s="1409"/>
      <c r="D34" s="1409"/>
      <c r="E34" s="3040"/>
      <c r="F34" s="3040"/>
      <c r="G34" s="3040"/>
    </row>
    <row r="35" spans="1:7" hidden="1">
      <c r="A35" s="1412">
        <v>2</v>
      </c>
      <c r="B35" s="1409" t="s">
        <v>1016</v>
      </c>
      <c r="C35" s="1409"/>
      <c r="D35" s="1409"/>
      <c r="E35" s="3040"/>
      <c r="F35" s="3040"/>
      <c r="G35" s="3040"/>
    </row>
    <row r="36" spans="1:7" hidden="1">
      <c r="A36" s="1412">
        <v>3</v>
      </c>
      <c r="B36" s="1409" t="s">
        <v>1017</v>
      </c>
      <c r="C36" s="1409"/>
      <c r="D36" s="1409"/>
      <c r="E36" s="3040"/>
      <c r="F36" s="3040"/>
      <c r="G36" s="3040"/>
    </row>
    <row r="37" spans="1:7" hidden="1">
      <c r="A37" s="1412">
        <v>4</v>
      </c>
      <c r="B37" s="1409" t="s">
        <v>1018</v>
      </c>
      <c r="C37" s="1409"/>
      <c r="D37" s="1409"/>
      <c r="E37" s="3040"/>
      <c r="F37" s="3040"/>
      <c r="G37" s="3040"/>
    </row>
    <row r="38" spans="1:7" hidden="1">
      <c r="A38" s="3041" t="s">
        <v>1019</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8" zoomScale="90" zoomScaleNormal="90" workbookViewId="0">
      <selection activeCell="J51" sqref="J51:J5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2326</v>
      </c>
      <c r="C1" s="1721" t="s">
        <v>2980</v>
      </c>
      <c r="D1" s="2372"/>
      <c r="E1" s="2373" t="s">
        <v>2844</v>
      </c>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2" customFormat="1" ht="28.5" customHeight="1" thickTop="1">
      <c r="A2" s="1722" t="s">
        <v>1997</v>
      </c>
      <c r="B2" s="1720">
        <f>IF(D2="——",IF(C2="元",ROUND(C49*D3,0),ROUND(C49*D3/10000,0)),IF(C2="元",ROUND(C49*D3,0),ROUND(C49*D3/10000,0))-E2)</f>
        <v>36283318</v>
      </c>
      <c r="C2" s="163" t="str">
        <f>'数据-取费表'!B3</f>
        <v>元</v>
      </c>
      <c r="D2" s="2375" t="s">
        <v>1247</v>
      </c>
      <c r="E2" s="1838"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1998</v>
      </c>
      <c r="B3" s="378">
        <f>ROUND(IF(D2="——",C49,IF(C2="万元",B2*10000/D3,B2/D3)),0)</f>
        <v>138703</v>
      </c>
      <c r="C3" s="379" t="s">
        <v>2328</v>
      </c>
      <c r="D3" s="378">
        <f>IF(C1="仅计算典型户型",'数据-取费表'!E5,'数据-取费表'!B5)</f>
        <v>261.58999999999997</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3"/>
    </row>
    <row r="4" spans="1:29" ht="15">
      <c r="A4" s="380" t="s">
        <v>2329</v>
      </c>
      <c r="B4" s="381"/>
      <c r="C4" s="3047" t="s">
        <v>2330</v>
      </c>
      <c r="D4" s="3048"/>
      <c r="E4" s="3049" t="s">
        <v>2331</v>
      </c>
      <c r="F4" s="3050"/>
      <c r="G4" s="3047" t="s">
        <v>2332</v>
      </c>
      <c r="H4" s="3048"/>
      <c r="I4" s="3047" t="s">
        <v>2333</v>
      </c>
      <c r="J4" s="3048"/>
      <c r="K4" s="2386"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4" t="s">
        <v>2332</v>
      </c>
      <c r="AC4" s="3044" t="s">
        <v>2333</v>
      </c>
    </row>
    <row r="5" spans="1:29" ht="15">
      <c r="A5" s="383"/>
      <c r="B5" s="384"/>
      <c r="C5" s="3064" t="s">
        <v>2921</v>
      </c>
      <c r="D5" s="3065"/>
      <c r="E5" s="3064" t="s">
        <v>2921</v>
      </c>
      <c r="F5" s="3065"/>
      <c r="G5" s="3064" t="s">
        <v>2921</v>
      </c>
      <c r="H5" s="3065"/>
      <c r="I5" s="3064" t="s">
        <v>2921</v>
      </c>
      <c r="J5" s="3065"/>
      <c r="K5" s="2387"/>
      <c r="L5" s="1238"/>
      <c r="M5" s="1239"/>
      <c r="N5" s="1239"/>
      <c r="O5" s="1239"/>
      <c r="P5" s="3053"/>
      <c r="Q5" s="3054"/>
      <c r="R5" s="3059"/>
      <c r="S5" s="3060"/>
      <c r="T5" s="3059"/>
      <c r="U5" s="3060"/>
      <c r="V5" s="3063"/>
      <c r="W5" s="3063"/>
      <c r="X5" s="1894"/>
      <c r="Y5" s="3059"/>
      <c r="Z5" s="3060"/>
      <c r="AA5" s="3045"/>
      <c r="AB5" s="3045"/>
      <c r="AC5" s="3045"/>
    </row>
    <row r="6" spans="1:29" ht="15.75" thickBot="1">
      <c r="A6" s="385"/>
      <c r="B6" s="386"/>
      <c r="C6" s="3066" t="s">
        <v>2922</v>
      </c>
      <c r="D6" s="3067"/>
      <c r="E6" s="3066" t="s">
        <v>2922</v>
      </c>
      <c r="F6" s="3067"/>
      <c r="G6" s="3066" t="s">
        <v>2922</v>
      </c>
      <c r="H6" s="3067"/>
      <c r="I6" s="3066" t="s">
        <v>2922</v>
      </c>
      <c r="J6" s="3067"/>
      <c r="K6" s="2387" t="s">
        <v>2341</v>
      </c>
      <c r="L6" s="1238"/>
      <c r="M6" s="1239"/>
      <c r="N6" s="1239"/>
      <c r="O6" s="1239"/>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f>C7</f>
        <v>43888</v>
      </c>
      <c r="F7" s="392">
        <f>SUMIF(58:58,YEAR(E7)&amp;"-"&amp;MONTH(E7),59:59)</f>
        <v>100</v>
      </c>
      <c r="G7" s="391">
        <f>C7</f>
        <v>43888</v>
      </c>
      <c r="H7" s="390">
        <f>SUMIF(58:58,YEAR(G7)&amp;"-"&amp;MONTH(G7),59:59)</f>
        <v>100</v>
      </c>
      <c r="I7" s="391">
        <f>G7</f>
        <v>43888</v>
      </c>
      <c r="J7" s="390">
        <f>SUMIF(58:58,YEAR(I7)&amp;"-"&amp;MONTH(I7),59:59)</f>
        <v>100</v>
      </c>
      <c r="K7" s="2388"/>
      <c r="L7" s="1240"/>
      <c r="M7" s="1241"/>
      <c r="N7" s="1241"/>
      <c r="O7" s="1241"/>
      <c r="P7" s="3075" t="s">
        <v>2343</v>
      </c>
      <c r="Q7" s="3077"/>
      <c r="R7" s="748" t="s">
        <v>34</v>
      </c>
      <c r="S7" s="749">
        <f t="shared" ref="S7:S15" si="0">F7</f>
        <v>100</v>
      </c>
      <c r="T7" s="748" t="s">
        <v>34</v>
      </c>
      <c r="U7" s="749">
        <f t="shared" ref="U7:U15" si="1">H7</f>
        <v>100</v>
      </c>
      <c r="V7" s="748" t="s">
        <v>34</v>
      </c>
      <c r="W7" s="749">
        <f t="shared" ref="W7:W15" si="2">J7</f>
        <v>100</v>
      </c>
      <c r="X7" s="750"/>
      <c r="Y7" s="3075" t="s">
        <v>2343</v>
      </c>
      <c r="Z7" s="3076"/>
      <c r="AA7" s="751">
        <f>D7/F7</f>
        <v>1</v>
      </c>
      <c r="AB7" s="751">
        <f>D7/H7</f>
        <v>1</v>
      </c>
      <c r="AC7" s="751">
        <f>D7/J7</f>
        <v>1</v>
      </c>
    </row>
    <row r="8" spans="1:29" s="35" customFormat="1" ht="15.75" thickBot="1">
      <c r="A8" s="387" t="s">
        <v>2344</v>
      </c>
      <c r="B8" s="388"/>
      <c r="C8" s="2389" t="s">
        <v>2923</v>
      </c>
      <c r="D8" s="390">
        <v>100</v>
      </c>
      <c r="E8" s="2389" t="s">
        <v>2923</v>
      </c>
      <c r="F8" s="392">
        <f>SUMIF(61:61,E8,62:62)-SUMIF(61:61,C8,62:62)+100</f>
        <v>100</v>
      </c>
      <c r="G8" s="2389" t="s">
        <v>2923</v>
      </c>
      <c r="H8" s="390">
        <f>SUMIF(61:61,G8,62:62)-SUMIF(61:61,C8,62:62)+100</f>
        <v>100</v>
      </c>
      <c r="I8" s="2389" t="s">
        <v>2923</v>
      </c>
      <c r="J8" s="390">
        <f>SUMIF(61:61,I8,62:62)-SUMIF(61:61,C8,62:62)+100</f>
        <v>100</v>
      </c>
      <c r="K8" s="2388"/>
      <c r="L8" s="1240"/>
      <c r="M8" s="1241"/>
      <c r="N8" s="1241"/>
      <c r="O8" s="1241"/>
      <c r="P8" s="3075" t="s">
        <v>2346</v>
      </c>
      <c r="Q8" s="3076"/>
      <c r="R8" s="748" t="s">
        <v>34</v>
      </c>
      <c r="S8" s="749">
        <f t="shared" si="0"/>
        <v>100</v>
      </c>
      <c r="T8" s="748" t="s">
        <v>34</v>
      </c>
      <c r="U8" s="749">
        <f t="shared" si="1"/>
        <v>100</v>
      </c>
      <c r="V8" s="748" t="s">
        <v>34</v>
      </c>
      <c r="W8" s="749">
        <f t="shared" si="2"/>
        <v>100</v>
      </c>
      <c r="X8" s="750"/>
      <c r="Y8" s="3075" t="s">
        <v>2346</v>
      </c>
      <c r="Z8" s="3076"/>
      <c r="AA8" s="751">
        <f t="shared" ref="AA8:AA46" si="3">D8/F8</f>
        <v>1</v>
      </c>
      <c r="AB8" s="751">
        <f t="shared" ref="AB8:AB46" si="4">D8/H8</f>
        <v>1</v>
      </c>
      <c r="AC8" s="751">
        <f t="shared" ref="AC8:AC46" si="5">D8/J8</f>
        <v>1</v>
      </c>
    </row>
    <row r="9" spans="1:29" s="35" customFormat="1">
      <c r="A9" s="395" t="s">
        <v>2347</v>
      </c>
      <c r="B9" s="28" t="s">
        <v>2348</v>
      </c>
      <c r="C9" s="397" t="s">
        <v>2906</v>
      </c>
      <c r="D9" s="51">
        <v>100</v>
      </c>
      <c r="E9" s="397" t="s">
        <v>2906</v>
      </c>
      <c r="F9" s="398">
        <f>SUMIF(63:63,E9,64:64)-SUMIF(63:63,C9,64:64)+100</f>
        <v>100</v>
      </c>
      <c r="G9" s="397" t="s">
        <v>2906</v>
      </c>
      <c r="H9" s="51">
        <f>SUMIF(63:63,G9,64:64)-SUMIF(63:63,C9,64:64)+100</f>
        <v>100</v>
      </c>
      <c r="I9" s="397" t="s">
        <v>2906</v>
      </c>
      <c r="J9" s="51">
        <f>SUMIF(63:63,I9,64:64)-SUMIF(63:63,C9,64:64)+100</f>
        <v>100</v>
      </c>
      <c r="K9" s="2388"/>
      <c r="L9" s="1240"/>
      <c r="M9" s="1241"/>
      <c r="N9" s="1241"/>
      <c r="O9" s="1241"/>
      <c r="P9" s="3078"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75" thickBot="1">
      <c r="A10" s="401"/>
      <c r="B10" s="402" t="s">
        <v>2351</v>
      </c>
      <c r="C10" s="404" t="s">
        <v>2924</v>
      </c>
      <c r="D10" s="52">
        <v>100</v>
      </c>
      <c r="E10" s="404" t="s">
        <v>2924</v>
      </c>
      <c r="F10" s="405">
        <f>SUMIF(65:65,E10,66:66)-SUMIF(65:65,C10,66:66)+100</f>
        <v>100</v>
      </c>
      <c r="G10" s="404" t="s">
        <v>2924</v>
      </c>
      <c r="H10" s="52">
        <f>SUMIF(65:65,G10,66:66)-SUMIF(65:65,C10,66:66)+100</f>
        <v>100</v>
      </c>
      <c r="I10" s="404" t="s">
        <v>2924</v>
      </c>
      <c r="J10" s="52">
        <f>SUMIF(65:65,I10,66:66)-SUMIF(65:65,C10,66:66)+100</f>
        <v>100</v>
      </c>
      <c r="K10" s="406">
        <v>2</v>
      </c>
      <c r="L10" s="1243"/>
      <c r="M10" s="1244"/>
      <c r="N10" s="1244"/>
      <c r="O10" s="1244"/>
      <c r="P10" s="3078"/>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hidden="1">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6"/>
      <c r="M11" s="1239"/>
      <c r="N11" s="1239"/>
      <c r="O11" s="1239"/>
      <c r="P11" s="3078"/>
      <c r="Q11" s="1881" t="str">
        <f t="shared" si="6"/>
        <v>容积率</v>
      </c>
      <c r="R11" s="748" t="s">
        <v>28</v>
      </c>
      <c r="S11" s="749">
        <f t="shared" si="0"/>
        <v>100</v>
      </c>
      <c r="T11" s="748" t="s">
        <v>28</v>
      </c>
      <c r="U11" s="749">
        <f t="shared" si="1"/>
        <v>100</v>
      </c>
      <c r="V11" s="748" t="s">
        <v>28</v>
      </c>
      <c r="W11" s="749">
        <f t="shared" si="2"/>
        <v>100</v>
      </c>
      <c r="X11" s="750"/>
      <c r="Y11" s="2875"/>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0"/>
      <c r="M12" s="1241"/>
      <c r="N12" s="1241"/>
      <c r="O12" s="1241"/>
      <c r="P12" s="3078"/>
      <c r="Q12" s="1881">
        <f t="shared" si="6"/>
        <v>111</v>
      </c>
      <c r="R12" s="748" t="s">
        <v>28</v>
      </c>
      <c r="S12" s="749">
        <f t="shared" si="0"/>
        <v>100</v>
      </c>
      <c r="T12" s="748" t="s">
        <v>28</v>
      </c>
      <c r="U12" s="749">
        <f t="shared" si="1"/>
        <v>100</v>
      </c>
      <c r="V12" s="748" t="s">
        <v>28</v>
      </c>
      <c r="W12" s="749">
        <f t="shared" si="2"/>
        <v>100</v>
      </c>
      <c r="X12" s="750"/>
      <c r="Y12" s="2875"/>
      <c r="Z12" s="23">
        <f t="shared" si="7"/>
        <v>111</v>
      </c>
      <c r="AA12" s="751">
        <f>D12/F12</f>
        <v>1</v>
      </c>
      <c r="AB12" s="751">
        <f>D12/H12</f>
        <v>1</v>
      </c>
      <c r="AC12" s="751">
        <f>D12/J12</f>
        <v>1</v>
      </c>
    </row>
    <row r="13" spans="1:29" ht="15" hidden="1">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8"/>
      <c r="M13" s="1239"/>
      <c r="N13" s="1239"/>
      <c r="O13" s="1239"/>
      <c r="P13" s="3078"/>
      <c r="Q13" s="1881">
        <f t="shared" si="6"/>
        <v>111</v>
      </c>
      <c r="R13" s="748" t="s">
        <v>28</v>
      </c>
      <c r="S13" s="749">
        <f t="shared" si="0"/>
        <v>100</v>
      </c>
      <c r="T13" s="748" t="s">
        <v>28</v>
      </c>
      <c r="U13" s="749">
        <f t="shared" si="1"/>
        <v>100</v>
      </c>
      <c r="V13" s="748" t="s">
        <v>28</v>
      </c>
      <c r="W13" s="749">
        <f t="shared" si="2"/>
        <v>100</v>
      </c>
      <c r="X13" s="750"/>
      <c r="Y13" s="2875"/>
      <c r="Z13" s="23">
        <f t="shared" si="7"/>
        <v>111</v>
      </c>
      <c r="AA13" s="751">
        <f t="shared" si="3"/>
        <v>1</v>
      </c>
      <c r="AB13" s="751">
        <f t="shared" si="4"/>
        <v>1</v>
      </c>
      <c r="AC13" s="751">
        <f t="shared" si="5"/>
        <v>1</v>
      </c>
    </row>
    <row r="14" spans="1:29" ht="15.75" hidden="1"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8"/>
      <c r="M14" s="1239"/>
      <c r="N14" s="1239"/>
      <c r="O14" s="1239"/>
      <c r="P14" s="3078"/>
      <c r="Q14" s="1881">
        <f t="shared" si="6"/>
        <v>111</v>
      </c>
      <c r="R14" s="748" t="s">
        <v>28</v>
      </c>
      <c r="S14" s="749">
        <f t="shared" si="0"/>
        <v>100</v>
      </c>
      <c r="T14" s="748" t="s">
        <v>28</v>
      </c>
      <c r="U14" s="749">
        <f t="shared" si="1"/>
        <v>100</v>
      </c>
      <c r="V14" s="748" t="s">
        <v>28</v>
      </c>
      <c r="W14" s="749">
        <f t="shared" si="2"/>
        <v>100</v>
      </c>
      <c r="X14" s="750"/>
      <c r="Y14" s="2875"/>
      <c r="Z14" s="23">
        <f t="shared" si="7"/>
        <v>111</v>
      </c>
      <c r="AA14" s="751">
        <f t="shared" si="3"/>
        <v>1</v>
      </c>
      <c r="AB14" s="751">
        <f t="shared" si="4"/>
        <v>1</v>
      </c>
      <c r="AC14" s="751">
        <f t="shared" si="5"/>
        <v>1</v>
      </c>
    </row>
    <row r="15" spans="1:29" ht="142.5">
      <c r="A15" s="419" t="s">
        <v>2353</v>
      </c>
      <c r="B15" s="26" t="s">
        <v>1731</v>
      </c>
      <c r="C15" s="2394"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1" t="s">
        <v>2354</v>
      </c>
      <c r="Q15" s="1893" t="str">
        <f t="shared" si="6"/>
        <v>居住社区成熟度</v>
      </c>
      <c r="R15" s="752" t="s">
        <v>28</v>
      </c>
      <c r="S15" s="753">
        <f t="shared" si="0"/>
        <v>100</v>
      </c>
      <c r="T15" s="752" t="s">
        <v>28</v>
      </c>
      <c r="U15" s="753">
        <f t="shared" si="1"/>
        <v>100</v>
      </c>
      <c r="V15" s="752" t="s">
        <v>28</v>
      </c>
      <c r="W15" s="753">
        <f t="shared" si="2"/>
        <v>100</v>
      </c>
      <c r="X15" s="1894"/>
      <c r="Y15" s="3068" t="s">
        <v>2354</v>
      </c>
      <c r="Z15" s="1896" t="str">
        <f t="shared" si="7"/>
        <v>居住社区成熟度</v>
      </c>
      <c r="AA15" s="1897">
        <f t="shared" si="3"/>
        <v>1</v>
      </c>
      <c r="AB15" s="1897">
        <f t="shared" si="4"/>
        <v>1</v>
      </c>
      <c r="AC15" s="1897">
        <f t="shared" si="5"/>
        <v>1</v>
      </c>
    </row>
    <row r="16" spans="1:29" ht="15">
      <c r="A16" s="408"/>
      <c r="B16" s="425"/>
      <c r="C16" s="426" t="s">
        <v>30</v>
      </c>
      <c r="D16" s="427"/>
      <c r="E16" s="426" t="s">
        <v>30</v>
      </c>
      <c r="F16" s="429"/>
      <c r="G16" s="426" t="s">
        <v>30</v>
      </c>
      <c r="H16" s="430"/>
      <c r="I16" s="426" t="s">
        <v>30</v>
      </c>
      <c r="J16" s="427"/>
      <c r="K16" s="2396"/>
      <c r="L16" s="1248"/>
      <c r="M16" s="1239"/>
      <c r="N16" s="1239"/>
      <c r="O16" s="1239"/>
      <c r="P16" s="3082"/>
      <c r="Q16" s="1893"/>
      <c r="R16" s="752"/>
      <c r="S16" s="753"/>
      <c r="T16" s="752"/>
      <c r="U16" s="753"/>
      <c r="V16" s="752"/>
      <c r="W16" s="753"/>
      <c r="X16" s="1894"/>
      <c r="Y16" s="3069"/>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2"/>
      <c r="Q17" s="1893" t="str">
        <f>B17</f>
        <v>交通便捷度</v>
      </c>
      <c r="R17" s="752" t="s">
        <v>28</v>
      </c>
      <c r="S17" s="753">
        <f>F17</f>
        <v>100</v>
      </c>
      <c r="T17" s="752" t="s">
        <v>28</v>
      </c>
      <c r="U17" s="753">
        <f>H17</f>
        <v>100</v>
      </c>
      <c r="V17" s="752" t="s">
        <v>28</v>
      </c>
      <c r="W17" s="753">
        <f>J17</f>
        <v>100</v>
      </c>
      <c r="X17" s="1894"/>
      <c r="Y17" s="3069"/>
      <c r="Z17" s="1896" t="str">
        <f>Q17</f>
        <v>交通便捷度</v>
      </c>
      <c r="AA17" s="1897">
        <f t="shared" si="3"/>
        <v>1</v>
      </c>
      <c r="AB17" s="1897">
        <f t="shared" si="4"/>
        <v>1</v>
      </c>
      <c r="AC17" s="1897">
        <f t="shared" si="5"/>
        <v>1</v>
      </c>
    </row>
    <row r="18" spans="1:29" ht="15">
      <c r="A18" s="408"/>
      <c r="B18" s="436"/>
      <c r="C18" s="437" t="s">
        <v>30</v>
      </c>
      <c r="D18" s="430"/>
      <c r="E18" s="426" t="s">
        <v>30</v>
      </c>
      <c r="F18" s="433"/>
      <c r="G18" s="426" t="s">
        <v>30</v>
      </c>
      <c r="H18" s="427"/>
      <c r="I18" s="426" t="s">
        <v>30</v>
      </c>
      <c r="J18" s="427"/>
      <c r="K18" s="2396"/>
      <c r="L18" s="1248"/>
      <c r="M18" s="1239"/>
      <c r="N18" s="1239"/>
      <c r="O18" s="1239"/>
      <c r="P18" s="3082"/>
      <c r="Q18" s="1893"/>
      <c r="R18" s="752"/>
      <c r="S18" s="753"/>
      <c r="T18" s="752"/>
      <c r="U18" s="753"/>
      <c r="V18" s="752"/>
      <c r="W18" s="753"/>
      <c r="X18" s="1894"/>
      <c r="Y18" s="3069"/>
      <c r="Z18" s="1896"/>
      <c r="AA18" s="1897">
        <v>1</v>
      </c>
      <c r="AB18" s="1897">
        <v>1</v>
      </c>
      <c r="AC18" s="1897">
        <v>1</v>
      </c>
    </row>
    <row r="19" spans="1:29" ht="42.75">
      <c r="A19" s="408"/>
      <c r="B19" s="431" t="s">
        <v>1738</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2"/>
      <c r="Q19" s="1893" t="str">
        <f>B19</f>
        <v>公共配套设施</v>
      </c>
      <c r="R19" s="752" t="s">
        <v>28</v>
      </c>
      <c r="S19" s="753">
        <f>F19</f>
        <v>100</v>
      </c>
      <c r="T19" s="752" t="s">
        <v>28</v>
      </c>
      <c r="U19" s="753">
        <f>H19</f>
        <v>100</v>
      </c>
      <c r="V19" s="752" t="s">
        <v>28</v>
      </c>
      <c r="W19" s="753">
        <f>J19</f>
        <v>100</v>
      </c>
      <c r="X19" s="1894"/>
      <c r="Y19" s="3069"/>
      <c r="Z19" s="1896" t="str">
        <f>Q19</f>
        <v>公共配套设施</v>
      </c>
      <c r="AA19" s="1897">
        <f t="shared" si="3"/>
        <v>1</v>
      </c>
      <c r="AB19" s="1897">
        <f t="shared" si="4"/>
        <v>1</v>
      </c>
      <c r="AC19" s="1897">
        <f t="shared" si="5"/>
        <v>1</v>
      </c>
    </row>
    <row r="20" spans="1:29" ht="15">
      <c r="A20" s="408"/>
      <c r="B20" s="436"/>
      <c r="C20" s="426" t="s">
        <v>30</v>
      </c>
      <c r="D20" s="427"/>
      <c r="E20" s="426" t="s">
        <v>30</v>
      </c>
      <c r="F20" s="429"/>
      <c r="G20" s="426" t="s">
        <v>30</v>
      </c>
      <c r="H20" s="427"/>
      <c r="I20" s="426" t="s">
        <v>30</v>
      </c>
      <c r="J20" s="427"/>
      <c r="K20" s="2396"/>
      <c r="L20" s="1248"/>
      <c r="M20" s="1239"/>
      <c r="N20" s="1239"/>
      <c r="O20" s="1239"/>
      <c r="P20" s="3082"/>
      <c r="Q20" s="1893"/>
      <c r="R20" s="752"/>
      <c r="S20" s="753"/>
      <c r="T20" s="752"/>
      <c r="U20" s="753"/>
      <c r="V20" s="752"/>
      <c r="W20" s="753"/>
      <c r="X20" s="1894"/>
      <c r="Y20" s="3069"/>
      <c r="Z20" s="1896"/>
      <c r="AA20" s="1897">
        <v>1</v>
      </c>
      <c r="AB20" s="1897">
        <v>1</v>
      </c>
      <c r="AC20" s="1897">
        <v>1</v>
      </c>
    </row>
    <row r="21" spans="1:29" ht="42.75">
      <c r="A21" s="408"/>
      <c r="B21" s="2399" t="s">
        <v>1741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2"/>
      <c r="Q21" s="1893" t="str">
        <f>B21</f>
        <v>基础设施水平</v>
      </c>
      <c r="R21" s="752" t="s">
        <v>28</v>
      </c>
      <c r="S21" s="753">
        <f>F21</f>
        <v>100</v>
      </c>
      <c r="T21" s="752" t="s">
        <v>28</v>
      </c>
      <c r="U21" s="753">
        <f>H21</f>
        <v>100</v>
      </c>
      <c r="V21" s="752" t="s">
        <v>28</v>
      </c>
      <c r="W21" s="753">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2399"/>
      <c r="C22" s="437" t="s">
        <v>2849</v>
      </c>
      <c r="D22" s="427"/>
      <c r="E22" s="437" t="s">
        <v>2849</v>
      </c>
      <c r="F22" s="429"/>
      <c r="G22" s="437" t="s">
        <v>2849</v>
      </c>
      <c r="H22" s="427"/>
      <c r="I22" s="437" t="s">
        <v>2849</v>
      </c>
      <c r="J22" s="427"/>
      <c r="K22" s="2400"/>
      <c r="L22" s="1248"/>
      <c r="M22" s="1239"/>
      <c r="N22" s="1239"/>
      <c r="O22" s="1239"/>
      <c r="P22" s="3082"/>
      <c r="Q22" s="1893"/>
      <c r="R22" s="752"/>
      <c r="S22" s="753"/>
      <c r="T22" s="752"/>
      <c r="U22" s="753"/>
      <c r="V22" s="752"/>
      <c r="W22" s="753"/>
      <c r="X22" s="1894"/>
      <c r="Y22" s="3069"/>
      <c r="Z22" s="1896"/>
      <c r="AA22" s="1897">
        <v>1</v>
      </c>
      <c r="AB22" s="1897">
        <v>1</v>
      </c>
      <c r="AC22" s="1897">
        <v>1</v>
      </c>
    </row>
    <row r="23" spans="1:29" ht="71.25">
      <c r="A23" s="408"/>
      <c r="B23" s="431" t="s">
        <v>1745</v>
      </c>
      <c r="C23" s="2397"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2"/>
      <c r="Q23" s="1893" t="str">
        <f>B23</f>
        <v>自然及人文环境</v>
      </c>
      <c r="R23" s="752" t="s">
        <v>28</v>
      </c>
      <c r="S23" s="753">
        <f>F23</f>
        <v>100</v>
      </c>
      <c r="T23" s="752" t="s">
        <v>28</v>
      </c>
      <c r="U23" s="753">
        <f>H23</f>
        <v>100</v>
      </c>
      <c r="V23" s="752" t="s">
        <v>28</v>
      </c>
      <c r="W23" s="753">
        <f>J23</f>
        <v>100</v>
      </c>
      <c r="X23" s="1894"/>
      <c r="Y23" s="3069"/>
      <c r="Z23" s="1896" t="str">
        <f>Q23</f>
        <v>自然及人文环境</v>
      </c>
      <c r="AA23" s="1897">
        <f t="shared" si="3"/>
        <v>1</v>
      </c>
      <c r="AB23" s="1897">
        <f t="shared" si="4"/>
        <v>1</v>
      </c>
      <c r="AC23" s="1897">
        <f t="shared" si="5"/>
        <v>1</v>
      </c>
    </row>
    <row r="24" spans="1:29" ht="15">
      <c r="A24" s="408"/>
      <c r="B24" s="436"/>
      <c r="C24" s="426" t="s">
        <v>30</v>
      </c>
      <c r="D24" s="427"/>
      <c r="E24" s="426" t="s">
        <v>30</v>
      </c>
      <c r="F24" s="429"/>
      <c r="G24" s="426" t="s">
        <v>30</v>
      </c>
      <c r="H24" s="427"/>
      <c r="I24" s="426" t="s">
        <v>30</v>
      </c>
      <c r="J24" s="427"/>
      <c r="K24" s="2396"/>
      <c r="L24" s="1248"/>
      <c r="M24" s="1239"/>
      <c r="N24" s="1239"/>
      <c r="O24" s="1239"/>
      <c r="P24" s="3082"/>
      <c r="Q24" s="1893"/>
      <c r="R24" s="752"/>
      <c r="S24" s="753"/>
      <c r="T24" s="752"/>
      <c r="U24" s="753"/>
      <c r="V24" s="752"/>
      <c r="W24" s="753"/>
      <c r="X24" s="1894"/>
      <c r="Y24" s="3069"/>
      <c r="Z24" s="1896"/>
      <c r="AA24" s="1897">
        <v>1</v>
      </c>
      <c r="AB24" s="1897">
        <v>1</v>
      </c>
      <c r="AC24" s="1897">
        <v>1</v>
      </c>
    </row>
    <row r="25" spans="1:29" ht="15" hidden="1">
      <c r="A25" s="408"/>
      <c r="B25" s="402" t="s">
        <v>2355</v>
      </c>
      <c r="C25" s="441"/>
      <c r="D25" s="415">
        <v>100</v>
      </c>
      <c r="E25" s="2401"/>
      <c r="F25" s="442">
        <f>SUMIF(86:86,E25,87:87)-SUMIF(86:86,C25,87:87)+100</f>
        <v>100</v>
      </c>
      <c r="G25" s="2402"/>
      <c r="H25" s="415">
        <f>SUMIF(86:86,G25,87:87)-SUMIF(86:86,C25,87:87)+100</f>
        <v>100</v>
      </c>
      <c r="I25" s="2401"/>
      <c r="J25" s="415">
        <f>SUMIF(86:86,I25,87:87)-SUMIF(86:86,C25,87:87)+100</f>
        <v>100</v>
      </c>
      <c r="K25" s="406"/>
      <c r="L25" s="1248"/>
      <c r="M25" s="1239"/>
      <c r="N25" s="1239"/>
      <c r="O25" s="1239"/>
      <c r="P25" s="3082"/>
      <c r="Q25" s="1893" t="str">
        <f t="shared" ref="Q25:Q46" si="11">B25</f>
        <v>楼层-1</v>
      </c>
      <c r="R25" s="752" t="s">
        <v>28</v>
      </c>
      <c r="S25" s="753">
        <f>F25</f>
        <v>100</v>
      </c>
      <c r="T25" s="752" t="s">
        <v>28</v>
      </c>
      <c r="U25" s="753">
        <f>H25</f>
        <v>100</v>
      </c>
      <c r="V25" s="752" t="s">
        <v>28</v>
      </c>
      <c r="W25" s="753">
        <f>J25</f>
        <v>100</v>
      </c>
      <c r="X25" s="1894"/>
      <c r="Y25" s="3069"/>
      <c r="Z25" s="1896" t="str">
        <f>Q25</f>
        <v>楼层-1</v>
      </c>
      <c r="AA25" s="1897">
        <f t="shared" si="3"/>
        <v>1</v>
      </c>
      <c r="AB25" s="1897">
        <f t="shared" si="4"/>
        <v>1</v>
      </c>
      <c r="AC25" s="1897">
        <f t="shared" si="5"/>
        <v>1</v>
      </c>
    </row>
    <row r="26" spans="1:29" ht="15">
      <c r="A26" s="408"/>
      <c r="B26" s="402" t="s">
        <v>2356</v>
      </c>
      <c r="C26" s="441" t="s">
        <v>2978</v>
      </c>
      <c r="D26" s="415">
        <v>100</v>
      </c>
      <c r="E26" s="2401" t="s">
        <v>2978</v>
      </c>
      <c r="F26" s="442">
        <f>SUMIF(88:88,E26,89:89)-SUMIF(88:88,C26,89:89)+100</f>
        <v>100</v>
      </c>
      <c r="G26" s="2401" t="s">
        <v>2978</v>
      </c>
      <c r="H26" s="415">
        <f>SUMIF(88:88,G26,89:89)-SUMIF(88:88,C26,89:89)+100</f>
        <v>100</v>
      </c>
      <c r="I26" s="2401" t="s">
        <v>2978</v>
      </c>
      <c r="J26" s="415">
        <f>SUMIF(88:88,I26,89:89)-SUMIF(88:88,C26,89:89)+100</f>
        <v>100</v>
      </c>
      <c r="K26" s="406"/>
      <c r="L26" s="1248"/>
      <c r="M26" s="1239"/>
      <c r="N26" s="1239"/>
      <c r="O26" s="1239"/>
      <c r="P26" s="3082"/>
      <c r="Q26" s="1893" t="str">
        <f t="shared" si="11"/>
        <v>朝向</v>
      </c>
      <c r="R26" s="752" t="s">
        <v>28</v>
      </c>
      <c r="S26" s="753">
        <f>F26</f>
        <v>100</v>
      </c>
      <c r="T26" s="752" t="s">
        <v>28</v>
      </c>
      <c r="U26" s="753">
        <f>H26</f>
        <v>100</v>
      </c>
      <c r="V26" s="752" t="s">
        <v>28</v>
      </c>
      <c r="W26" s="753">
        <f>J26</f>
        <v>100</v>
      </c>
      <c r="X26" s="1894"/>
      <c r="Y26" s="3069"/>
      <c r="Z26" s="1896" t="str">
        <f>Q26</f>
        <v>朝向</v>
      </c>
      <c r="AA26" s="1897">
        <f t="shared" si="3"/>
        <v>1</v>
      </c>
      <c r="AB26" s="1897">
        <f t="shared" si="4"/>
        <v>1</v>
      </c>
      <c r="AC26" s="1897">
        <f t="shared" si="5"/>
        <v>1</v>
      </c>
    </row>
    <row r="27" spans="1:29" s="35" customFormat="1" ht="27.75">
      <c r="A27" s="411"/>
      <c r="B27" s="2390" t="s">
        <v>2357</v>
      </c>
      <c r="C27" s="412" t="s">
        <v>2925</v>
      </c>
      <c r="D27" s="443">
        <v>100</v>
      </c>
      <c r="E27" s="412" t="s">
        <v>2926</v>
      </c>
      <c r="F27" s="445">
        <f>SUMIF(90:90,E27,91:91)-SUMIF(90:90,C27,91:91)+100</f>
        <v>100</v>
      </c>
      <c r="G27" s="412" t="s">
        <v>2926</v>
      </c>
      <c r="H27" s="443">
        <f>SUMIF(90:90,G27,91:91)-SUMIF(90:90,C27,91:91)+100</f>
        <v>100</v>
      </c>
      <c r="I27" s="412" t="s">
        <v>2926</v>
      </c>
      <c r="J27" s="443">
        <f>SUMIF(90:90,I27,91:91)-SUMIF(90:90,C27,91:91)+100</f>
        <v>100</v>
      </c>
      <c r="K27" s="2391"/>
      <c r="L27" s="1240"/>
      <c r="M27" s="1241"/>
      <c r="N27" s="1241"/>
      <c r="O27" s="1241"/>
      <c r="P27" s="3082"/>
      <c r="Q27" s="1881" t="str">
        <f t="shared" si="11"/>
        <v>道路级别</v>
      </c>
      <c r="R27" s="748" t="s">
        <v>28</v>
      </c>
      <c r="S27" s="749">
        <f>F27</f>
        <v>100</v>
      </c>
      <c r="T27" s="748" t="s">
        <v>28</v>
      </c>
      <c r="U27" s="749">
        <f>H27</f>
        <v>100</v>
      </c>
      <c r="V27" s="748" t="s">
        <v>28</v>
      </c>
      <c r="W27" s="749">
        <f>J27</f>
        <v>100</v>
      </c>
      <c r="X27" s="750"/>
      <c r="Y27" s="3069"/>
      <c r="Z27" s="23" t="str">
        <f>Q27</f>
        <v>道路级别</v>
      </c>
      <c r="AA27" s="1897">
        <f>D27/F27</f>
        <v>1</v>
      </c>
      <c r="AB27" s="1897">
        <f>D27/H27</f>
        <v>1</v>
      </c>
      <c r="AC27" s="1897">
        <f>D27/J27</f>
        <v>1</v>
      </c>
    </row>
    <row r="28" spans="1:29" ht="15.75" thickBot="1">
      <c r="A28" s="408"/>
      <c r="B28" s="2770" t="s">
        <v>2929</v>
      </c>
      <c r="C28" s="2777" t="s">
        <v>2927</v>
      </c>
      <c r="D28" s="415">
        <v>100</v>
      </c>
      <c r="E28" s="2777" t="s">
        <v>2928</v>
      </c>
      <c r="F28" s="442">
        <f>SUMIF(92:92,E28,93:93)-SUMIF(92:92,C28,93:93)+100</f>
        <v>98</v>
      </c>
      <c r="G28" s="2777" t="s">
        <v>2928</v>
      </c>
      <c r="H28" s="415">
        <f>SUMIF(92:92,G28,93:93)-SUMIF(92:92,C28,93:93)+100</f>
        <v>98</v>
      </c>
      <c r="I28" s="2777" t="s">
        <v>2927</v>
      </c>
      <c r="J28" s="415">
        <f>SUMIF(92:92,I28,93:93)-SUMIF(92:92,C28,93:93)+100</f>
        <v>100</v>
      </c>
      <c r="K28" s="2391"/>
      <c r="L28" s="1248"/>
      <c r="M28" s="1239"/>
      <c r="N28" s="1239"/>
      <c r="O28" s="1239"/>
      <c r="P28" s="3082"/>
      <c r="Q28" s="1893" t="str">
        <f t="shared" si="11"/>
        <v>楼层</v>
      </c>
      <c r="R28" s="752" t="s">
        <v>28</v>
      </c>
      <c r="S28" s="753">
        <f t="shared" ref="S28:S46" si="12">F28</f>
        <v>98</v>
      </c>
      <c r="T28" s="752" t="s">
        <v>28</v>
      </c>
      <c r="U28" s="753">
        <f t="shared" ref="U28:U46" si="13">H28</f>
        <v>98</v>
      </c>
      <c r="V28" s="752" t="s">
        <v>28</v>
      </c>
      <c r="W28" s="753">
        <f t="shared" ref="W28:W46" si="14">J28</f>
        <v>100</v>
      </c>
      <c r="X28" s="1894"/>
      <c r="Y28" s="3069"/>
      <c r="Z28" s="1896" t="str">
        <f t="shared" ref="Z28:Z46" si="15">Q28</f>
        <v>楼层</v>
      </c>
      <c r="AA28" s="1897">
        <f t="shared" si="3"/>
        <v>1.0204081632653061</v>
      </c>
      <c r="AB28" s="1897">
        <f t="shared" si="4"/>
        <v>1.0204081632653061</v>
      </c>
      <c r="AC28" s="1897">
        <f t="shared" si="5"/>
        <v>1</v>
      </c>
    </row>
    <row r="29" spans="1:29" ht="15" hidden="1">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8"/>
      <c r="M29" s="1239"/>
      <c r="N29" s="1239"/>
      <c r="O29" s="1239"/>
      <c r="P29" s="3082"/>
      <c r="Q29" s="1893">
        <f t="shared" si="11"/>
        <v>111</v>
      </c>
      <c r="R29" s="752" t="s">
        <v>28</v>
      </c>
      <c r="S29" s="753">
        <f t="shared" si="12"/>
        <v>100</v>
      </c>
      <c r="T29" s="752" t="s">
        <v>28</v>
      </c>
      <c r="U29" s="753">
        <f t="shared" si="13"/>
        <v>100</v>
      </c>
      <c r="V29" s="752" t="s">
        <v>28</v>
      </c>
      <c r="W29" s="753">
        <f t="shared" si="14"/>
        <v>100</v>
      </c>
      <c r="X29" s="1894"/>
      <c r="Y29" s="3069"/>
      <c r="Z29" s="1896">
        <f t="shared" si="15"/>
        <v>111</v>
      </c>
      <c r="AA29" s="1897">
        <f t="shared" si="3"/>
        <v>1</v>
      </c>
      <c r="AB29" s="1897">
        <f t="shared" si="4"/>
        <v>1</v>
      </c>
      <c r="AC29" s="1897">
        <f t="shared" si="5"/>
        <v>1</v>
      </c>
    </row>
    <row r="30" spans="1:29" ht="15" hidden="1">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8"/>
      <c r="M30" s="1239"/>
      <c r="N30" s="1239"/>
      <c r="O30" s="1239"/>
      <c r="P30" s="3082"/>
      <c r="Q30" s="1893">
        <f t="shared" si="11"/>
        <v>111</v>
      </c>
      <c r="R30" s="752" t="s">
        <v>28</v>
      </c>
      <c r="S30" s="753">
        <f t="shared" si="12"/>
        <v>100</v>
      </c>
      <c r="T30" s="752" t="s">
        <v>28</v>
      </c>
      <c r="U30" s="753">
        <f t="shared" si="13"/>
        <v>100</v>
      </c>
      <c r="V30" s="752" t="s">
        <v>28</v>
      </c>
      <c r="W30" s="753">
        <f t="shared" si="14"/>
        <v>100</v>
      </c>
      <c r="X30" s="1894"/>
      <c r="Y30" s="3069"/>
      <c r="Z30" s="1896">
        <f t="shared" si="15"/>
        <v>111</v>
      </c>
      <c r="AA30" s="1897">
        <f t="shared" si="3"/>
        <v>1</v>
      </c>
      <c r="AB30" s="1897">
        <f t="shared" si="4"/>
        <v>1</v>
      </c>
      <c r="AC30" s="1897">
        <f t="shared" si="5"/>
        <v>1</v>
      </c>
    </row>
    <row r="31" spans="1:29" ht="15.75" hidden="1"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8"/>
      <c r="M31" s="1239"/>
      <c r="N31" s="1239"/>
      <c r="O31" s="1239"/>
      <c r="P31" s="3082"/>
      <c r="Q31" s="1893">
        <f t="shared" si="11"/>
        <v>111</v>
      </c>
      <c r="R31" s="752" t="s">
        <v>28</v>
      </c>
      <c r="S31" s="753">
        <f t="shared" si="12"/>
        <v>100</v>
      </c>
      <c r="T31" s="752" t="s">
        <v>28</v>
      </c>
      <c r="U31" s="753">
        <f t="shared" si="13"/>
        <v>100</v>
      </c>
      <c r="V31" s="752" t="s">
        <v>28</v>
      </c>
      <c r="W31" s="753">
        <f t="shared" si="14"/>
        <v>100</v>
      </c>
      <c r="X31" s="1894"/>
      <c r="Y31" s="3069"/>
      <c r="Z31" s="1896">
        <f t="shared" si="15"/>
        <v>111</v>
      </c>
      <c r="AA31" s="1897">
        <f t="shared" si="3"/>
        <v>1</v>
      </c>
      <c r="AB31" s="1897">
        <f t="shared" si="4"/>
        <v>1</v>
      </c>
      <c r="AC31" s="1897">
        <f t="shared" si="5"/>
        <v>1</v>
      </c>
    </row>
    <row r="32" spans="1:29" ht="15">
      <c r="A32" s="419" t="s">
        <v>2358</v>
      </c>
      <c r="B32" s="28" t="s">
        <v>2359</v>
      </c>
      <c r="C32" s="2404" t="s">
        <v>2977</v>
      </c>
      <c r="D32" s="448">
        <v>100</v>
      </c>
      <c r="E32" s="2405" t="s">
        <v>2977</v>
      </c>
      <c r="F32" s="442">
        <f>SUMIF(100:100,E32,101:101)-SUMIF(100:100,C32,101:101)+100</f>
        <v>100</v>
      </c>
      <c r="G32" s="2405" t="s">
        <v>2977</v>
      </c>
      <c r="H32" s="448">
        <f>SUMIF(100:100,G32,101:101)-SUMIF(100:100,C32,101:101)+100</f>
        <v>100</v>
      </c>
      <c r="I32" s="2405" t="s">
        <v>2977</v>
      </c>
      <c r="J32" s="415">
        <f>SUMIF(100:100,I32,101:101)-SUMIF(100:100,C32,101:101)+100</f>
        <v>100</v>
      </c>
      <c r="K32" s="406">
        <v>5</v>
      </c>
      <c r="L32" s="1248"/>
      <c r="M32" s="1239"/>
      <c r="N32" s="1239"/>
      <c r="O32" s="1239"/>
      <c r="P32" s="3070" t="s">
        <v>2360</v>
      </c>
      <c r="Q32" s="1893" t="str">
        <f t="shared" si="11"/>
        <v>建筑类型</v>
      </c>
      <c r="R32" s="752" t="s">
        <v>28</v>
      </c>
      <c r="S32" s="753">
        <f t="shared" si="12"/>
        <v>100</v>
      </c>
      <c r="T32" s="752" t="s">
        <v>28</v>
      </c>
      <c r="U32" s="753">
        <f t="shared" si="13"/>
        <v>100</v>
      </c>
      <c r="V32" s="752" t="s">
        <v>28</v>
      </c>
      <c r="W32" s="753">
        <f t="shared" si="14"/>
        <v>100</v>
      </c>
      <c r="X32" s="1894"/>
      <c r="Y32" s="3073" t="s">
        <v>2360</v>
      </c>
      <c r="Z32" s="1896" t="str">
        <f t="shared" si="15"/>
        <v>建筑类型</v>
      </c>
      <c r="AA32" s="1897">
        <f t="shared" si="3"/>
        <v>1</v>
      </c>
      <c r="AB32" s="1897">
        <f t="shared" si="4"/>
        <v>1</v>
      </c>
      <c r="AC32" s="1897">
        <f t="shared" si="5"/>
        <v>1</v>
      </c>
    </row>
    <row r="33" spans="1:29" s="452" customFormat="1" ht="15">
      <c r="A33" s="449"/>
      <c r="B33" s="402" t="s">
        <v>2361</v>
      </c>
      <c r="C33" s="450">
        <f>'数据-取费表'!B5</f>
        <v>261.58999999999997</v>
      </c>
      <c r="D33" s="52">
        <v>100</v>
      </c>
      <c r="E33" s="410">
        <v>138.72</v>
      </c>
      <c r="F33" s="405">
        <f>LOOKUP(E33,103:103,104:104)-LOOKUP(C33,103:103,104:104)+100</f>
        <v>101</v>
      </c>
      <c r="G33" s="409">
        <v>259.38</v>
      </c>
      <c r="H33" s="52">
        <f>LOOKUP(G33,103:103,104:104)-LOOKUP(C33,103:103,104:104)+100</f>
        <v>100</v>
      </c>
      <c r="I33" s="410">
        <v>181.89</v>
      </c>
      <c r="J33" s="52">
        <f>LOOKUP(I33,103:103,104:104)-LOOKUP(C33,103:103,104:104)+100</f>
        <v>101</v>
      </c>
      <c r="K33" s="2391"/>
      <c r="L33" s="1246"/>
      <c r="M33" s="1249"/>
      <c r="N33" s="1249"/>
      <c r="O33" s="1249"/>
      <c r="P33" s="3071"/>
      <c r="Q33" s="754" t="str">
        <f t="shared" si="11"/>
        <v>项目建筑规模</v>
      </c>
      <c r="R33" s="755" t="s">
        <v>28</v>
      </c>
      <c r="S33" s="756">
        <f t="shared" si="12"/>
        <v>101</v>
      </c>
      <c r="T33" s="755" t="s">
        <v>28</v>
      </c>
      <c r="U33" s="756">
        <f t="shared" si="13"/>
        <v>100</v>
      </c>
      <c r="V33" s="755" t="s">
        <v>28</v>
      </c>
      <c r="W33" s="756">
        <f t="shared" si="14"/>
        <v>101</v>
      </c>
      <c r="X33" s="757"/>
      <c r="Y33" s="3073"/>
      <c r="Z33" s="758" t="str">
        <f t="shared" si="15"/>
        <v>项目建筑规模</v>
      </c>
      <c r="AA33" s="1897">
        <f t="shared" si="3"/>
        <v>0.99009900990099009</v>
      </c>
      <c r="AB33" s="1897">
        <f t="shared" si="4"/>
        <v>1</v>
      </c>
      <c r="AC33" s="1897">
        <f t="shared" si="5"/>
        <v>0.99009900990099009</v>
      </c>
    </row>
    <row r="34" spans="1:29" ht="15">
      <c r="A34" s="453"/>
      <c r="B34" s="402" t="s">
        <v>2362</v>
      </c>
      <c r="C34" s="2406" t="s">
        <v>2893</v>
      </c>
      <c r="D34" s="415">
        <v>100</v>
      </c>
      <c r="E34" s="2406" t="s">
        <v>2893</v>
      </c>
      <c r="F34" s="442">
        <f>SUMIF(105:105,E34,106:106)-SUMIF(105:105,C34,106:106)+100</f>
        <v>100</v>
      </c>
      <c r="G34" s="2406" t="s">
        <v>2893</v>
      </c>
      <c r="H34" s="415">
        <f>SUMIF(105:105,G34,106:106)-SUMIF(105:105,C34,106:106)+100</f>
        <v>100</v>
      </c>
      <c r="I34" s="2406" t="s">
        <v>2893</v>
      </c>
      <c r="J34" s="415">
        <f>SUMIF(105:105,I34,106:106)-SUMIF(105:105,C34,106:106)+100</f>
        <v>100</v>
      </c>
      <c r="K34" s="406">
        <v>2</v>
      </c>
      <c r="L34" s="1248"/>
      <c r="M34" s="1239"/>
      <c r="N34" s="1239"/>
      <c r="O34" s="1239"/>
      <c r="P34" s="3071"/>
      <c r="Q34" s="1893" t="str">
        <f t="shared" si="11"/>
        <v>建筑结构</v>
      </c>
      <c r="R34" s="752" t="s">
        <v>28</v>
      </c>
      <c r="S34" s="753">
        <f t="shared" si="12"/>
        <v>100</v>
      </c>
      <c r="T34" s="752" t="s">
        <v>28</v>
      </c>
      <c r="U34" s="753">
        <f t="shared" si="13"/>
        <v>100</v>
      </c>
      <c r="V34" s="752" t="s">
        <v>28</v>
      </c>
      <c r="W34" s="753">
        <f t="shared" si="14"/>
        <v>100</v>
      </c>
      <c r="X34" s="1894"/>
      <c r="Y34" s="3073"/>
      <c r="Z34" s="1896" t="str">
        <f t="shared" si="15"/>
        <v>建筑结构</v>
      </c>
      <c r="AA34" s="1897">
        <f t="shared" si="3"/>
        <v>1</v>
      </c>
      <c r="AB34" s="1897">
        <f t="shared" si="4"/>
        <v>1</v>
      </c>
      <c r="AC34" s="1897">
        <f t="shared" si="5"/>
        <v>1</v>
      </c>
    </row>
    <row r="35" spans="1:29" ht="15">
      <c r="A35" s="453"/>
      <c r="B35" s="402" t="s">
        <v>2363</v>
      </c>
      <c r="C35" s="2402" t="s">
        <v>2976</v>
      </c>
      <c r="D35" s="415">
        <v>100</v>
      </c>
      <c r="E35" s="2402" t="s">
        <v>2976</v>
      </c>
      <c r="F35" s="442">
        <f>SUMIF(107:107,E35,108:108)-SUMIF(107:107,C35,108:108)+100</f>
        <v>100</v>
      </c>
      <c r="G35" s="2402" t="s">
        <v>2976</v>
      </c>
      <c r="H35" s="415">
        <f>SUMIF(107:107,G35,108:108)-SUMIF(107:107,C35,108:108)+100</f>
        <v>100</v>
      </c>
      <c r="I35" s="2402" t="s">
        <v>2976</v>
      </c>
      <c r="J35" s="415">
        <f>SUMIF(107:107,I35,108:108)-SUMIF(107:107,C35,108:108)+100</f>
        <v>100</v>
      </c>
      <c r="K35" s="406">
        <v>5</v>
      </c>
      <c r="L35" s="1248"/>
      <c r="M35" s="1239"/>
      <c r="N35" s="1239"/>
      <c r="O35" s="1239"/>
      <c r="P35" s="3071"/>
      <c r="Q35" s="1893" t="str">
        <f t="shared" si="11"/>
        <v>建筑品质</v>
      </c>
      <c r="R35" s="752" t="s">
        <v>28</v>
      </c>
      <c r="S35" s="753">
        <f t="shared" si="12"/>
        <v>100</v>
      </c>
      <c r="T35" s="752" t="s">
        <v>28</v>
      </c>
      <c r="U35" s="753">
        <f t="shared" si="13"/>
        <v>100</v>
      </c>
      <c r="V35" s="752" t="s">
        <v>28</v>
      </c>
      <c r="W35" s="753">
        <f t="shared" si="14"/>
        <v>100</v>
      </c>
      <c r="X35" s="1894"/>
      <c r="Y35" s="3073"/>
      <c r="Z35" s="1896" t="str">
        <f t="shared" si="15"/>
        <v>建筑品质</v>
      </c>
      <c r="AA35" s="1897">
        <f t="shared" si="3"/>
        <v>1</v>
      </c>
      <c r="AB35" s="1897">
        <f t="shared" si="4"/>
        <v>1</v>
      </c>
      <c r="AC35" s="1897">
        <f t="shared" si="5"/>
        <v>1</v>
      </c>
    </row>
    <row r="36" spans="1:29" ht="15">
      <c r="A36" s="453"/>
      <c r="B36" s="402" t="s">
        <v>2364</v>
      </c>
      <c r="C36" s="2402" t="s">
        <v>2972</v>
      </c>
      <c r="D36" s="415">
        <v>100</v>
      </c>
      <c r="E36" s="2402" t="s">
        <v>2972</v>
      </c>
      <c r="F36" s="442">
        <f>SUMIF(109:109,E36,110:110)-SUMIF(109:109,C36,110:110)+100</f>
        <v>100</v>
      </c>
      <c r="G36" s="2402" t="s">
        <v>2972</v>
      </c>
      <c r="H36" s="415">
        <f>SUMIF(109:109,G36,110:110)-SUMIF(109:109,C36,110:110)+100</f>
        <v>100</v>
      </c>
      <c r="I36" s="2402" t="s">
        <v>2972</v>
      </c>
      <c r="J36" s="415">
        <f>SUMIF(109:109,I36,110:110)-SUMIF(109:109,C36,110:110)+100</f>
        <v>100</v>
      </c>
      <c r="K36" s="406">
        <v>2</v>
      </c>
      <c r="L36" s="1248"/>
      <c r="M36" s="1239"/>
      <c r="N36" s="1239"/>
      <c r="O36" s="1239"/>
      <c r="P36" s="3071"/>
      <c r="Q36" s="1893" t="str">
        <f t="shared" si="11"/>
        <v>公共部分装修</v>
      </c>
      <c r="R36" s="752" t="s">
        <v>28</v>
      </c>
      <c r="S36" s="753">
        <f t="shared" si="12"/>
        <v>100</v>
      </c>
      <c r="T36" s="752" t="s">
        <v>28</v>
      </c>
      <c r="U36" s="753">
        <f t="shared" si="13"/>
        <v>100</v>
      </c>
      <c r="V36" s="752" t="s">
        <v>28</v>
      </c>
      <c r="W36" s="753">
        <f t="shared" si="14"/>
        <v>100</v>
      </c>
      <c r="X36" s="1894"/>
      <c r="Y36" s="3073"/>
      <c r="Z36" s="1896" t="str">
        <f t="shared" si="15"/>
        <v>公共部分装修</v>
      </c>
      <c r="AA36" s="1897">
        <f t="shared" si="3"/>
        <v>1</v>
      </c>
      <c r="AB36" s="1897">
        <f t="shared" si="4"/>
        <v>1</v>
      </c>
      <c r="AC36" s="1897">
        <f t="shared" si="5"/>
        <v>1</v>
      </c>
    </row>
    <row r="37" spans="1:29" s="35" customFormat="1" ht="15">
      <c r="A37" s="454"/>
      <c r="B37" s="402" t="s">
        <v>2365</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0"/>
      <c r="M37" s="1241"/>
      <c r="N37" s="1241"/>
      <c r="O37" s="1241"/>
      <c r="P37" s="3071"/>
      <c r="Q37" s="1881" t="str">
        <f t="shared" si="11"/>
        <v>成新度</v>
      </c>
      <c r="R37" s="748" t="s">
        <v>28</v>
      </c>
      <c r="S37" s="749">
        <f t="shared" si="12"/>
        <v>100</v>
      </c>
      <c r="T37" s="748" t="s">
        <v>28</v>
      </c>
      <c r="U37" s="749">
        <f t="shared" si="13"/>
        <v>100</v>
      </c>
      <c r="V37" s="748" t="s">
        <v>28</v>
      </c>
      <c r="W37" s="749">
        <f t="shared" si="14"/>
        <v>100</v>
      </c>
      <c r="X37" s="750"/>
      <c r="Y37" s="3073"/>
      <c r="Z37" s="23" t="str">
        <f t="shared" si="15"/>
        <v>成新度</v>
      </c>
      <c r="AA37" s="751">
        <f t="shared" si="3"/>
        <v>1</v>
      </c>
      <c r="AB37" s="751">
        <f t="shared" si="4"/>
        <v>1</v>
      </c>
      <c r="AC37" s="751">
        <f t="shared" si="5"/>
        <v>1</v>
      </c>
    </row>
    <row r="38" spans="1:29" ht="15">
      <c r="A38" s="453"/>
      <c r="B38" s="402" t="s">
        <v>2366</v>
      </c>
      <c r="C38" s="2402" t="s">
        <v>2975</v>
      </c>
      <c r="D38" s="415">
        <v>100</v>
      </c>
      <c r="E38" s="2402" t="s">
        <v>2975</v>
      </c>
      <c r="F38" s="442">
        <f>SUMIF(114:114,E38,115:115)-SUMIF(114:114,C38,115:115)+100</f>
        <v>100</v>
      </c>
      <c r="G38" s="2402" t="s">
        <v>2975</v>
      </c>
      <c r="H38" s="415">
        <f>SUMIF(114:114,G38,115:115)-SUMIF(114:114,C38,115:115)+100</f>
        <v>100</v>
      </c>
      <c r="I38" s="2402" t="s">
        <v>2975</v>
      </c>
      <c r="J38" s="415">
        <f>SUMIF(114:114,I38,115:115)-SUMIF(114:114,C38,115:115)+100</f>
        <v>100</v>
      </c>
      <c r="K38" s="406">
        <v>2</v>
      </c>
      <c r="L38" s="1248"/>
      <c r="M38" s="1239"/>
      <c r="N38" s="1239"/>
      <c r="O38" s="1239"/>
      <c r="P38" s="3071" t="s">
        <v>2360</v>
      </c>
      <c r="Q38" s="1893" t="str">
        <f t="shared" si="11"/>
        <v>物业管理</v>
      </c>
      <c r="R38" s="752" t="s">
        <v>28</v>
      </c>
      <c r="S38" s="753">
        <f t="shared" si="12"/>
        <v>100</v>
      </c>
      <c r="T38" s="752" t="s">
        <v>28</v>
      </c>
      <c r="U38" s="753">
        <f t="shared" si="13"/>
        <v>100</v>
      </c>
      <c r="V38" s="752" t="s">
        <v>28</v>
      </c>
      <c r="W38" s="753">
        <f t="shared" si="14"/>
        <v>100</v>
      </c>
      <c r="X38" s="1894"/>
      <c r="Y38" s="3073" t="s">
        <v>2360</v>
      </c>
      <c r="Z38" s="1896" t="str">
        <f t="shared" si="15"/>
        <v>物业管理</v>
      </c>
      <c r="AA38" s="1897">
        <f t="shared" si="3"/>
        <v>1</v>
      </c>
      <c r="AB38" s="1897">
        <f t="shared" si="4"/>
        <v>1</v>
      </c>
      <c r="AC38" s="1897">
        <f t="shared" si="5"/>
        <v>1</v>
      </c>
    </row>
    <row r="39" spans="1:29" ht="15">
      <c r="A39" s="453"/>
      <c r="B39" s="402" t="s">
        <v>2367</v>
      </c>
      <c r="C39" s="2402" t="s">
        <v>2974</v>
      </c>
      <c r="D39" s="415">
        <v>100</v>
      </c>
      <c r="E39" s="2402" t="s">
        <v>2974</v>
      </c>
      <c r="F39" s="442">
        <f>SUMIF(116:116,E39,117:117)-SUMIF(116:116,C39,117:117)+100</f>
        <v>100</v>
      </c>
      <c r="G39" s="2402" t="s">
        <v>2974</v>
      </c>
      <c r="H39" s="415">
        <f>SUMIF(116:116,G39,117:117)-SUMIF(116:116,C39,117:117)+100</f>
        <v>100</v>
      </c>
      <c r="I39" s="2402" t="s">
        <v>2974</v>
      </c>
      <c r="J39" s="415">
        <f>SUMIF(116:116,I39,117:117)-SUMIF(116:116,C39,117:117)+100</f>
        <v>100</v>
      </c>
      <c r="K39" s="406">
        <v>1</v>
      </c>
      <c r="L39" s="1248"/>
      <c r="M39" s="1239"/>
      <c r="N39" s="1239"/>
      <c r="O39" s="1239"/>
      <c r="P39" s="3071"/>
      <c r="Q39" s="1893" t="str">
        <f t="shared" si="11"/>
        <v>市政基础设施</v>
      </c>
      <c r="R39" s="752" t="s">
        <v>28</v>
      </c>
      <c r="S39" s="753">
        <f t="shared" si="12"/>
        <v>100</v>
      </c>
      <c r="T39" s="752" t="s">
        <v>28</v>
      </c>
      <c r="U39" s="753">
        <f t="shared" si="13"/>
        <v>100</v>
      </c>
      <c r="V39" s="752" t="s">
        <v>28</v>
      </c>
      <c r="W39" s="753">
        <f t="shared" si="14"/>
        <v>100</v>
      </c>
      <c r="X39" s="1894"/>
      <c r="Y39" s="3073"/>
      <c r="Z39" s="1896" t="str">
        <f t="shared" si="15"/>
        <v>市政基础设施</v>
      </c>
      <c r="AA39" s="1897">
        <f t="shared" si="3"/>
        <v>1</v>
      </c>
      <c r="AB39" s="1897">
        <f t="shared" si="4"/>
        <v>1</v>
      </c>
      <c r="AC39" s="1897">
        <f t="shared" si="5"/>
        <v>1</v>
      </c>
    </row>
    <row r="40" spans="1:29" ht="15">
      <c r="A40" s="453"/>
      <c r="B40" s="402" t="s">
        <v>2368</v>
      </c>
      <c r="C40" s="2780" t="s">
        <v>2973</v>
      </c>
      <c r="D40" s="2781">
        <v>100</v>
      </c>
      <c r="E40" s="2780" t="s">
        <v>2979</v>
      </c>
      <c r="F40" s="2782">
        <f>SUMIF(118:118,E40,119:119)-SUMIF(118:118,C40,119:119)+100</f>
        <v>103</v>
      </c>
      <c r="G40" s="2780" t="s">
        <v>2973</v>
      </c>
      <c r="H40" s="2781">
        <f>SUMIF(118:118,G40,119:119)-SUMIF(118:118,C40,119:119)+100</f>
        <v>100</v>
      </c>
      <c r="I40" s="2780" t="s">
        <v>2979</v>
      </c>
      <c r="J40" s="2781">
        <f>SUMIF(118:118,I40,119:119)-SUMIF(118:118,C40,119:119)+100</f>
        <v>103</v>
      </c>
      <c r="K40" s="2783">
        <v>-3</v>
      </c>
      <c r="L40" s="1248"/>
      <c r="M40" s="1239"/>
      <c r="N40" s="1239"/>
      <c r="O40" s="1239"/>
      <c r="P40" s="3071"/>
      <c r="Q40" s="1893" t="str">
        <f t="shared" si="11"/>
        <v>房型</v>
      </c>
      <c r="R40" s="752" t="s">
        <v>28</v>
      </c>
      <c r="S40" s="753">
        <f t="shared" si="12"/>
        <v>103</v>
      </c>
      <c r="T40" s="752" t="s">
        <v>28</v>
      </c>
      <c r="U40" s="753">
        <f t="shared" si="13"/>
        <v>100</v>
      </c>
      <c r="V40" s="752" t="s">
        <v>28</v>
      </c>
      <c r="W40" s="753">
        <f t="shared" si="14"/>
        <v>103</v>
      </c>
      <c r="X40" s="1894"/>
      <c r="Y40" s="3073"/>
      <c r="Z40" s="1896" t="str">
        <f t="shared" si="15"/>
        <v>房型</v>
      </c>
      <c r="AA40" s="1897">
        <f t="shared" si="3"/>
        <v>0.970873786407767</v>
      </c>
      <c r="AB40" s="1897">
        <f t="shared" si="4"/>
        <v>1</v>
      </c>
      <c r="AC40" s="1897">
        <f t="shared" si="5"/>
        <v>0.970873786407767</v>
      </c>
    </row>
    <row r="41" spans="1:29" s="452" customFormat="1" ht="28.5" hidden="1">
      <c r="A41" s="449"/>
      <c r="B41" s="402" t="s">
        <v>2369</v>
      </c>
      <c r="C41" s="450"/>
      <c r="D41" s="52">
        <v>100</v>
      </c>
      <c r="E41" s="450"/>
      <c r="F41" s="405">
        <f>SUMIF(120:120,E41,121:121)-SUMIF(120:120,C41,121:121)+100</f>
        <v>100</v>
      </c>
      <c r="G41" s="450"/>
      <c r="H41" s="52">
        <f>SUMIF(120:120,G41,121:121)-SUMIF(120:120,C41,121:121)+100</f>
        <v>100</v>
      </c>
      <c r="I41" s="450"/>
      <c r="J41" s="415">
        <f>SUMIF(120:120,I41,121:121)-SUMIF(120:120,C41,121:121)+100</f>
        <v>100</v>
      </c>
      <c r="K41" s="2391"/>
      <c r="L41" s="1246"/>
      <c r="M41" s="1249"/>
      <c r="N41" s="1249"/>
      <c r="O41" s="1249"/>
      <c r="P41" s="3071"/>
      <c r="Q41" s="754" t="str">
        <f t="shared" si="11"/>
        <v>单套/主力户型建筑面积</v>
      </c>
      <c r="R41" s="755" t="s">
        <v>28</v>
      </c>
      <c r="S41" s="756">
        <f t="shared" si="12"/>
        <v>100</v>
      </c>
      <c r="T41" s="755" t="s">
        <v>28</v>
      </c>
      <c r="U41" s="756">
        <f t="shared" si="13"/>
        <v>100</v>
      </c>
      <c r="V41" s="755" t="s">
        <v>28</v>
      </c>
      <c r="W41" s="756">
        <f t="shared" si="14"/>
        <v>100</v>
      </c>
      <c r="X41" s="757"/>
      <c r="Y41" s="3073"/>
      <c r="Z41" s="758" t="str">
        <f t="shared" si="15"/>
        <v>单套/主力户型建筑面积</v>
      </c>
      <c r="AA41" s="1897">
        <f t="shared" si="3"/>
        <v>1</v>
      </c>
      <c r="AB41" s="1897">
        <f t="shared" si="4"/>
        <v>1</v>
      </c>
      <c r="AC41" s="1897">
        <f t="shared" si="5"/>
        <v>1</v>
      </c>
    </row>
    <row r="42" spans="1:29" ht="15">
      <c r="A42" s="453"/>
      <c r="B42" s="402" t="s">
        <v>2370</v>
      </c>
      <c r="C42" s="2402" t="s">
        <v>2894</v>
      </c>
      <c r="D42" s="415">
        <v>100</v>
      </c>
      <c r="E42" s="2402" t="s">
        <v>2894</v>
      </c>
      <c r="F42" s="442">
        <f>SUMIF(122:122,E42,123:123)-SUMIF(122:122,C42,123:123)+100</f>
        <v>100</v>
      </c>
      <c r="G42" s="2402" t="s">
        <v>2894</v>
      </c>
      <c r="H42" s="2781">
        <f>SUMIF(122:122,G42,123:123)-SUMIF(122:122,C42,123:123)+100</f>
        <v>100</v>
      </c>
      <c r="I42" s="2784" t="s">
        <v>2899</v>
      </c>
      <c r="J42" s="415">
        <f>SUMIF(122:122,I42,123:123)-SUMIF(122:122,C42,123:123)+100</f>
        <v>99</v>
      </c>
      <c r="K42" s="2783">
        <v>1</v>
      </c>
      <c r="L42" s="1248"/>
      <c r="M42" s="1239"/>
      <c r="N42" s="1239"/>
      <c r="O42" s="1239"/>
      <c r="P42" s="3071"/>
      <c r="Q42" s="1893" t="str">
        <f t="shared" si="11"/>
        <v>内部装修</v>
      </c>
      <c r="R42" s="752" t="s">
        <v>28</v>
      </c>
      <c r="S42" s="753">
        <f t="shared" si="12"/>
        <v>100</v>
      </c>
      <c r="T42" s="752" t="s">
        <v>28</v>
      </c>
      <c r="U42" s="753">
        <f t="shared" si="13"/>
        <v>100</v>
      </c>
      <c r="V42" s="752" t="s">
        <v>28</v>
      </c>
      <c r="W42" s="753">
        <f t="shared" si="14"/>
        <v>99</v>
      </c>
      <c r="X42" s="1894"/>
      <c r="Y42" s="3073"/>
      <c r="Z42" s="1896" t="str">
        <f t="shared" si="15"/>
        <v>内部装修</v>
      </c>
      <c r="AA42" s="1897">
        <f t="shared" si="3"/>
        <v>1</v>
      </c>
      <c r="AB42" s="1897">
        <f t="shared" si="4"/>
        <v>1</v>
      </c>
      <c r="AC42" s="1897">
        <f t="shared" si="5"/>
        <v>1.0101010101010102</v>
      </c>
    </row>
    <row r="43" spans="1:29" ht="15.75" thickBot="1">
      <c r="A43" s="453"/>
      <c r="B43" s="402" t="s">
        <v>2371</v>
      </c>
      <c r="C43" s="2402" t="s">
        <v>31</v>
      </c>
      <c r="D43" s="415">
        <v>100</v>
      </c>
      <c r="E43" s="2402" t="s">
        <v>31</v>
      </c>
      <c r="F43" s="442">
        <f>SUMIF(124:124,E43,125:125)-SUMIF(124:124,C43,125:125)+100</f>
        <v>100</v>
      </c>
      <c r="G43" s="2402" t="s">
        <v>31</v>
      </c>
      <c r="H43" s="415">
        <f>SUMIF(124:124,G43,125:125)-SUMIF(124:124,C43,125:125)+100</f>
        <v>100</v>
      </c>
      <c r="I43" s="2402" t="s">
        <v>31</v>
      </c>
      <c r="J43" s="415">
        <f>SUMIF(124:124,I43,125:125)-SUMIF(124:124,C43,125:125)+100</f>
        <v>100</v>
      </c>
      <c r="K43" s="406">
        <v>1</v>
      </c>
      <c r="L43" s="1248"/>
      <c r="M43" s="1239"/>
      <c r="N43" s="1239"/>
      <c r="O43" s="1239"/>
      <c r="P43" s="3071"/>
      <c r="Q43" s="1893" t="str">
        <f t="shared" si="11"/>
        <v>内部装修维护情况</v>
      </c>
      <c r="R43" s="752" t="s">
        <v>28</v>
      </c>
      <c r="S43" s="753">
        <f t="shared" si="12"/>
        <v>100</v>
      </c>
      <c r="T43" s="752" t="s">
        <v>28</v>
      </c>
      <c r="U43" s="753">
        <f t="shared" si="13"/>
        <v>100</v>
      </c>
      <c r="V43" s="752" t="s">
        <v>28</v>
      </c>
      <c r="W43" s="753">
        <f t="shared" si="14"/>
        <v>100</v>
      </c>
      <c r="X43" s="1894"/>
      <c r="Y43" s="3073"/>
      <c r="Z43" s="1896" t="str">
        <f t="shared" si="15"/>
        <v>内部装修维护情况</v>
      </c>
      <c r="AA43" s="1897">
        <f t="shared" si="3"/>
        <v>1</v>
      </c>
      <c r="AB43" s="1897">
        <f t="shared" si="4"/>
        <v>1</v>
      </c>
      <c r="AC43" s="1897">
        <f t="shared" si="5"/>
        <v>1</v>
      </c>
    </row>
    <row r="44" spans="1:29" s="35" customFormat="1" ht="15" hidden="1">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0"/>
      <c r="M44" s="1241"/>
      <c r="N44" s="1241"/>
      <c r="O44" s="1241"/>
      <c r="P44" s="3071"/>
      <c r="Q44" s="1881">
        <f t="shared" si="11"/>
        <v>111</v>
      </c>
      <c r="R44" s="748" t="s">
        <v>28</v>
      </c>
      <c r="S44" s="749">
        <f t="shared" si="12"/>
        <v>100</v>
      </c>
      <c r="T44" s="748" t="s">
        <v>28</v>
      </c>
      <c r="U44" s="749">
        <f t="shared" si="13"/>
        <v>100</v>
      </c>
      <c r="V44" s="748" t="s">
        <v>28</v>
      </c>
      <c r="W44" s="749">
        <f t="shared" si="14"/>
        <v>100</v>
      </c>
      <c r="X44" s="750"/>
      <c r="Y44" s="3073"/>
      <c r="Z44" s="23">
        <f t="shared" si="15"/>
        <v>111</v>
      </c>
      <c r="AA44" s="751">
        <f t="shared" si="3"/>
        <v>1</v>
      </c>
      <c r="AB44" s="751">
        <f t="shared" si="4"/>
        <v>1</v>
      </c>
      <c r="AC44" s="751">
        <f t="shared" si="5"/>
        <v>1</v>
      </c>
    </row>
    <row r="45" spans="1:29" ht="15" hidden="1">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8"/>
      <c r="M45" s="1239"/>
      <c r="N45" s="1239"/>
      <c r="O45" s="1239"/>
      <c r="P45" s="3071"/>
      <c r="Q45" s="1893">
        <f t="shared" si="11"/>
        <v>111</v>
      </c>
      <c r="R45" s="752" t="s">
        <v>28</v>
      </c>
      <c r="S45" s="753">
        <f t="shared" si="12"/>
        <v>100</v>
      </c>
      <c r="T45" s="752" t="s">
        <v>28</v>
      </c>
      <c r="U45" s="753">
        <f t="shared" si="13"/>
        <v>100</v>
      </c>
      <c r="V45" s="752" t="s">
        <v>28</v>
      </c>
      <c r="W45" s="753">
        <f t="shared" si="14"/>
        <v>100</v>
      </c>
      <c r="X45" s="1894"/>
      <c r="Y45" s="3073"/>
      <c r="Z45" s="1896">
        <f t="shared" si="15"/>
        <v>111</v>
      </c>
      <c r="AA45" s="1897">
        <f t="shared" si="3"/>
        <v>1</v>
      </c>
      <c r="AB45" s="1897">
        <f t="shared" si="4"/>
        <v>1</v>
      </c>
      <c r="AC45" s="1897">
        <f t="shared" si="5"/>
        <v>1</v>
      </c>
    </row>
    <row r="46" spans="1:29" ht="15.75" hidden="1"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8"/>
      <c r="M46" s="1239"/>
      <c r="N46" s="1239"/>
      <c r="O46" s="1239"/>
      <c r="P46" s="3072"/>
      <c r="Q46" s="1893">
        <f t="shared" si="11"/>
        <v>111</v>
      </c>
      <c r="R46" s="752" t="s">
        <v>27</v>
      </c>
      <c r="S46" s="753">
        <f t="shared" si="12"/>
        <v>100</v>
      </c>
      <c r="T46" s="752" t="s">
        <v>27</v>
      </c>
      <c r="U46" s="753">
        <f t="shared" si="13"/>
        <v>100</v>
      </c>
      <c r="V46" s="752" t="s">
        <v>27</v>
      </c>
      <c r="W46" s="753">
        <f t="shared" si="14"/>
        <v>100</v>
      </c>
      <c r="X46" s="1894"/>
      <c r="Y46" s="3074"/>
      <c r="Z46" s="1896">
        <f t="shared" si="15"/>
        <v>111</v>
      </c>
      <c r="AA46" s="1897">
        <f t="shared" si="3"/>
        <v>1</v>
      </c>
      <c r="AB46" s="1897">
        <f t="shared" si="4"/>
        <v>1</v>
      </c>
      <c r="AC46" s="1897">
        <f t="shared" si="5"/>
        <v>1</v>
      </c>
    </row>
    <row r="47" spans="1:29" ht="15">
      <c r="A47" s="460" t="s">
        <v>2372</v>
      </c>
      <c r="B47" s="461"/>
      <c r="C47" s="1497" t="s">
        <v>26</v>
      </c>
      <c r="D47" s="1498"/>
      <c r="E47" s="1499">
        <f>ROUND(140571*C50,0)</f>
        <v>136354</v>
      </c>
      <c r="F47" s="1500"/>
      <c r="G47" s="1501">
        <f>ROUND(138792*C50,0)</f>
        <v>134628</v>
      </c>
      <c r="H47" s="1502"/>
      <c r="I47" s="1499">
        <f>ROUND(153939*C50,0)</f>
        <v>149321</v>
      </c>
      <c r="J47" s="1502"/>
      <c r="K47" s="2408"/>
      <c r="L47" s="1251"/>
      <c r="M47" s="1252"/>
      <c r="N47" s="1239"/>
      <c r="O47" s="1252"/>
      <c r="P47" s="3079" t="str">
        <f>A47</f>
        <v>成交单价（元/平方米）</v>
      </c>
      <c r="Q47" s="3079"/>
      <c r="R47" s="3080">
        <f>E47</f>
        <v>136354</v>
      </c>
      <c r="S47" s="3080"/>
      <c r="T47" s="3080">
        <f>G47</f>
        <v>134628</v>
      </c>
      <c r="U47" s="3080"/>
      <c r="V47" s="3080">
        <f>I47</f>
        <v>149321</v>
      </c>
      <c r="W47" s="3080"/>
      <c r="X47" s="737"/>
      <c r="Y47" s="759"/>
      <c r="Z47" s="737"/>
      <c r="AA47" s="737"/>
      <c r="AB47" s="737"/>
      <c r="AC47" s="737"/>
    </row>
    <row r="48" spans="1:29" ht="15.75" thickBot="1">
      <c r="A48" s="467" t="s">
        <v>2373</v>
      </c>
      <c r="B48" s="468"/>
      <c r="C48" s="1503">
        <f>R49</f>
        <v>138703</v>
      </c>
      <c r="D48" s="1504"/>
      <c r="E48" s="1505">
        <f>R48</f>
        <v>133747</v>
      </c>
      <c r="F48" s="1505"/>
      <c r="G48" s="1503">
        <f>T48</f>
        <v>137376</v>
      </c>
      <c r="H48" s="1504"/>
      <c r="I48" s="1505">
        <f>V48</f>
        <v>144986</v>
      </c>
      <c r="J48" s="1504"/>
      <c r="K48" s="2409"/>
      <c r="L48" s="1251"/>
      <c r="M48" s="1252"/>
      <c r="N48" s="1252"/>
      <c r="O48" s="1252"/>
      <c r="P48" s="3079" t="str">
        <f>A48</f>
        <v>比较价值（元/平方米）</v>
      </c>
      <c r="Q48" s="3079"/>
      <c r="R48" s="3080">
        <f>IF(E1="售价",ROUND(PRODUCT(R47,AA7:AA46),0),ROUND(PRODUCT(R47,AA7:AA46),1))</f>
        <v>133747</v>
      </c>
      <c r="S48" s="3080"/>
      <c r="T48" s="3083">
        <f>IF(E1="售价",ROUND(PRODUCT(T47,AB7:AB46),0),ROUND(PRODUCT(T47,AB7:AB46),1))</f>
        <v>137376</v>
      </c>
      <c r="U48" s="3084"/>
      <c r="V48" s="3080">
        <f>IF(E1="售价",ROUND(PRODUCT(V47,AC7:AC46),0),ROUND(PRODUCT(V47,AC7:AC46),1))</f>
        <v>144986</v>
      </c>
      <c r="W48" s="3080"/>
      <c r="X48" s="737"/>
      <c r="Y48" s="737"/>
      <c r="Z48" s="737"/>
      <c r="AA48" s="737"/>
      <c r="AB48" s="737"/>
      <c r="AC48" s="737"/>
    </row>
    <row r="49" spans="1:29" ht="15.75" thickBot="1">
      <c r="A49" s="473" t="s">
        <v>2374</v>
      </c>
      <c r="B49" s="474"/>
      <c r="C49" s="1506">
        <f>R49</f>
        <v>138703</v>
      </c>
      <c r="D49" s="1507"/>
      <c r="E49" s="1507"/>
      <c r="F49" s="1507"/>
      <c r="G49" s="1507"/>
      <c r="H49" s="1507"/>
      <c r="I49" s="1507"/>
      <c r="J49" s="1507"/>
      <c r="K49" s="2410"/>
      <c r="L49" s="1251"/>
      <c r="M49" s="1252"/>
      <c r="N49" s="1252"/>
      <c r="O49" s="1252"/>
      <c r="P49" s="3085" t="str">
        <f>A49</f>
        <v>估价对象XX用房的比较价值（楼面单价，元/平方米）</v>
      </c>
      <c r="Q49" s="3086"/>
      <c r="R49" s="3087">
        <f>IF(E1="售价",ROUND(AVERAGE(R48:V48),0),ROUND(AVERAGE(R48:V48),1))</f>
        <v>138703</v>
      </c>
      <c r="S49" s="3087"/>
      <c r="T49" s="3087"/>
      <c r="U49" s="3087"/>
      <c r="V49" s="3087"/>
      <c r="W49" s="3087"/>
      <c r="X49" s="737"/>
      <c r="Y49" s="737"/>
      <c r="Z49" s="737"/>
      <c r="AA49" s="737"/>
      <c r="AB49" s="737"/>
      <c r="AC49" s="737"/>
    </row>
    <row r="50" spans="1:29">
      <c r="A50" s="1252"/>
      <c r="B50" s="1252"/>
      <c r="C50" s="1252">
        <v>0.97</v>
      </c>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2375</v>
      </c>
      <c r="D52" s="479"/>
      <c r="E52" s="480">
        <f>IF(E47&lt;E48,E48/E47-1,E47/E48-1)</f>
        <v>1.9492025989368056E-2</v>
      </c>
      <c r="F52" s="481" t="str">
        <f>IF(OR(E52&gt;=0.3,E52&lt;=-0.3),"超过30%","")</f>
        <v/>
      </c>
      <c r="G52" s="480">
        <f>IF(G47&lt;G48,G48/G47-1,G47/G48-1)</f>
        <v>2.0411801408325214E-2</v>
      </c>
      <c r="H52" s="481" t="str">
        <f>IF(OR(G52&gt;=0.3,G52&lt;=-0.3),"超过30%","")</f>
        <v/>
      </c>
      <c r="I52" s="480">
        <f>IF(I47&lt;I48,I48/I47-1,I47/I48-1)</f>
        <v>2.9899438566482361E-2</v>
      </c>
      <c r="J52" s="481" t="str">
        <f>IF(OR(I52&gt;=0.3,I52&lt;=-0.3),"超过30%","")</f>
        <v/>
      </c>
      <c r="K52" s="1257"/>
      <c r="L52" s="1253"/>
      <c r="M52" s="1252"/>
      <c r="N52" s="1252"/>
      <c r="O52" s="1252"/>
    </row>
    <row r="53" spans="1:29" ht="13.5" customHeight="1">
      <c r="A53" s="1252"/>
      <c r="B53" s="1252"/>
      <c r="C53" s="478" t="s">
        <v>2376</v>
      </c>
      <c r="D53" s="482"/>
      <c r="E53" s="480">
        <f>IF(E48&lt;G48,G48/E48-1,E48/G48-1)</f>
        <v>2.7133318878180379E-2</v>
      </c>
      <c r="F53" s="481" t="str">
        <f>IF(OR(E53&gt;=0.2,E53&lt;=-0.2),"超过20%","")</f>
        <v/>
      </c>
      <c r="G53" s="480">
        <f>IF(G48&lt;I48,I48/G48-1,G48/I48-1)</f>
        <v>5.5395411134404826E-2</v>
      </c>
      <c r="H53" s="481" t="str">
        <f>IF(OR(G53&gt;=0.2,G53&lt;=-0.2),"超过20%","")</f>
        <v/>
      </c>
      <c r="I53" s="480">
        <f>IF(I48&lt;E48,E48/I48-1,I48/E48-1)</f>
        <v>8.4031791367283004E-2</v>
      </c>
      <c r="J53" s="481" t="str">
        <f>IF(OR(I53&gt;=0.2,I53&lt;=-0.2),"超过20%","")</f>
        <v/>
      </c>
      <c r="K53" s="1257"/>
      <c r="L53" s="1253"/>
      <c r="M53" s="1252"/>
      <c r="N53" s="1252"/>
      <c r="O53" s="1252"/>
    </row>
    <row r="54" spans="1:29" s="483" customFormat="1" ht="13.5" customHeight="1">
      <c r="A54" s="1254"/>
      <c r="B54" s="1254"/>
      <c r="C54" s="478" t="s">
        <v>2377</v>
      </c>
      <c r="D54" s="482"/>
      <c r="E54" s="480">
        <f>IF(E47&lt;G47,G47/E47-1,E47/G47-1)</f>
        <v>1.2820512820512775E-2</v>
      </c>
      <c r="F54" s="481" t="str">
        <f>IF(OR(E54&gt;=0.3,E54&lt;=-0.3),"超过30%","")</f>
        <v/>
      </c>
      <c r="G54" s="480">
        <f>IF(G47&lt;I47,I47/G47-1,G47/I47-1)</f>
        <v>0.1091377722316309</v>
      </c>
      <c r="H54" s="481" t="str">
        <f>IF(OR(G54&gt;=0.3,G54&lt;=-0.3),"超过30%","")</f>
        <v/>
      </c>
      <c r="I54" s="480">
        <f>IF(I47&lt;E47,E47/I47-1,I47/E47-1)</f>
        <v>9.5098053595787491E-2</v>
      </c>
      <c r="J54" s="481" t="str">
        <f>IF(OR(I54&gt;=0.3,I54&lt;=-0.3),"超过30%","")</f>
        <v/>
      </c>
      <c r="K54" s="1258"/>
      <c r="L54" s="1259"/>
      <c r="M54" s="1254"/>
      <c r="N54" s="1254"/>
      <c r="O54" s="1254"/>
      <c r="P54" s="2412"/>
    </row>
    <row r="55" spans="1:29" s="483" customFormat="1">
      <c r="A55" s="1254"/>
      <c r="B55" s="1255"/>
      <c r="C55" s="1260"/>
      <c r="D55" s="1254"/>
      <c r="E55" s="1254"/>
      <c r="F55" s="1254"/>
      <c r="G55" s="1254"/>
      <c r="H55" s="1254"/>
      <c r="I55" s="1254"/>
      <c r="J55" s="1254"/>
      <c r="K55" s="1258"/>
      <c r="L55" s="1259"/>
      <c r="M55" s="1254"/>
      <c r="N55" s="1254"/>
      <c r="O55" s="1254"/>
      <c r="P55" s="2412"/>
    </row>
    <row r="56" spans="1:29">
      <c r="A56" s="1252"/>
      <c r="B56" s="1255"/>
      <c r="C56" s="1260"/>
      <c r="D56" s="1252"/>
      <c r="E56" s="1252"/>
      <c r="F56" s="1252"/>
      <c r="G56" s="1252"/>
      <c r="H56" s="1252"/>
      <c r="I56" s="1252"/>
      <c r="J56" s="1252"/>
      <c r="K56" s="1257"/>
      <c r="L56" s="1253"/>
      <c r="M56" s="1252"/>
      <c r="N56" s="1252"/>
      <c r="O56" s="1252"/>
    </row>
    <row r="57" spans="1:29" ht="21.75" thickBot="1">
      <c r="A57" s="741" t="s">
        <v>2378</v>
      </c>
      <c r="B57" s="737"/>
      <c r="C57" s="742"/>
      <c r="D57" s="742"/>
      <c r="E57" s="742"/>
      <c r="F57" s="743"/>
      <c r="G57" s="743"/>
      <c r="H57" s="742"/>
      <c r="I57" s="742"/>
      <c r="J57" s="742"/>
      <c r="K57" s="744"/>
      <c r="L57" s="745"/>
      <c r="M57" s="742"/>
      <c r="N57" s="742"/>
      <c r="O57" s="742"/>
      <c r="P57" s="2413"/>
      <c r="Q57" s="485"/>
    </row>
    <row r="58" spans="1:29" s="489" customFormat="1" ht="15">
      <c r="A58" s="486" t="s">
        <v>2379</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2381</v>
      </c>
      <c r="B61" s="491"/>
      <c r="C61" s="503" t="s">
        <v>2382</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t="str">
        <f>C9</f>
        <v>住宅</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3"/>
      <c r="O66" s="1263"/>
      <c r="P66" s="2417"/>
      <c r="Q66" s="485"/>
    </row>
    <row r="67" spans="1:17" ht="15.7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7"/>
      <c r="Q67" s="485"/>
    </row>
    <row r="68" spans="1:17" ht="15">
      <c r="A68" s="516"/>
      <c r="B68" s="531"/>
      <c r="C68" s="532">
        <v>0</v>
      </c>
      <c r="D68" s="532">
        <v>1</v>
      </c>
      <c r="E68" s="532">
        <v>2</v>
      </c>
      <c r="F68" s="532"/>
      <c r="G68" s="532"/>
      <c r="H68" s="532"/>
      <c r="I68" s="532"/>
      <c r="J68" s="532"/>
      <c r="K68" s="533"/>
      <c r="L68" s="534"/>
      <c r="M68" s="535"/>
      <c r="N68" s="1262"/>
      <c r="O68" s="1262"/>
      <c r="P68" s="241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44"/>
      <c r="E73" s="544"/>
      <c r="F73" s="544"/>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1741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2405</v>
      </c>
      <c r="C86" s="2764"/>
      <c r="D86" s="2764"/>
      <c r="E86" s="2764"/>
      <c r="F86" s="537"/>
      <c r="G86" s="537"/>
      <c r="H86" s="537"/>
      <c r="I86" s="537"/>
      <c r="J86" s="537"/>
      <c r="K86" s="537"/>
      <c r="L86" s="564"/>
      <c r="M86" s="565"/>
      <c r="N86" s="1261"/>
      <c r="O86" s="1261"/>
      <c r="P86" s="241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7"/>
      <c r="Q87" s="485"/>
    </row>
    <row r="88" spans="1:17" s="35" customFormat="1" ht="15.75" thickTop="1">
      <c r="A88" s="563"/>
      <c r="B88" s="521" t="s">
        <v>2406</v>
      </c>
      <c r="C88" s="2771" t="s">
        <v>2930</v>
      </c>
      <c r="D88" s="2771" t="s">
        <v>2931</v>
      </c>
      <c r="E88" s="2771" t="s">
        <v>2932</v>
      </c>
      <c r="F88" s="2772" t="s">
        <v>2933</v>
      </c>
      <c r="G88" s="2771" t="s">
        <v>2934</v>
      </c>
      <c r="H88" s="2771" t="s">
        <v>2935</v>
      </c>
      <c r="I88" s="2771" t="s">
        <v>2936</v>
      </c>
      <c r="J88" s="2771" t="s">
        <v>2937</v>
      </c>
      <c r="K88" s="2771" t="s">
        <v>2938</v>
      </c>
      <c r="L88" s="2771" t="s">
        <v>2939</v>
      </c>
      <c r="M88" s="2773" t="s">
        <v>2940</v>
      </c>
      <c r="N88" s="1261"/>
      <c r="O88" s="1261"/>
      <c r="P88" s="241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7"/>
      <c r="Q89" s="485"/>
    </row>
    <row r="90" spans="1:17" s="452" customFormat="1" ht="15.75" thickTop="1">
      <c r="A90" s="536"/>
      <c r="B90" s="521" t="str">
        <f>B27</f>
        <v>道路级别</v>
      </c>
      <c r="C90" s="2774" t="s">
        <v>2941</v>
      </c>
      <c r="D90" s="2774" t="s">
        <v>2942</v>
      </c>
      <c r="E90" s="2774" t="s">
        <v>2943</v>
      </c>
      <c r="F90" s="2774" t="s">
        <v>2944</v>
      </c>
      <c r="G90" s="2774" t="s">
        <v>2945</v>
      </c>
      <c r="H90" s="538"/>
      <c r="I90" s="538"/>
      <c r="J90" s="538"/>
      <c r="K90" s="538"/>
      <c r="L90" s="539"/>
      <c r="M90" s="540"/>
      <c r="N90" s="1264"/>
      <c r="O90" s="1264"/>
      <c r="P90" s="2418"/>
      <c r="Q90" s="543"/>
    </row>
    <row r="91" spans="1:17" s="452" customFormat="1" ht="15.75" thickBot="1">
      <c r="A91" s="536"/>
      <c r="B91" s="526"/>
      <c r="C91" s="2775">
        <v>100</v>
      </c>
      <c r="D91" s="2775">
        <v>99</v>
      </c>
      <c r="E91" s="2775">
        <v>98</v>
      </c>
      <c r="F91" s="2775">
        <v>97</v>
      </c>
      <c r="G91" s="2775">
        <v>96</v>
      </c>
      <c r="H91" s="546"/>
      <c r="I91" s="546"/>
      <c r="J91" s="546"/>
      <c r="K91" s="546"/>
      <c r="L91" s="546"/>
      <c r="M91" s="547"/>
      <c r="N91" s="1264"/>
      <c r="O91" s="1264"/>
      <c r="P91" s="2418"/>
      <c r="Q91" s="543"/>
    </row>
    <row r="92" spans="1:17" ht="15.75" thickTop="1">
      <c r="A92" s="516"/>
      <c r="B92" s="521" t="str">
        <f>B28</f>
        <v>楼层</v>
      </c>
      <c r="C92" s="2764" t="s">
        <v>2946</v>
      </c>
      <c r="D92" s="2764" t="s">
        <v>2947</v>
      </c>
      <c r="E92" s="2764" t="s">
        <v>2948</v>
      </c>
      <c r="F92" s="537"/>
      <c r="G92" s="567"/>
      <c r="H92" s="567"/>
      <c r="I92" s="567"/>
      <c r="J92" s="567"/>
      <c r="K92" s="568"/>
      <c r="L92" s="569"/>
      <c r="M92" s="570"/>
      <c r="N92" s="1262"/>
      <c r="O92" s="1262"/>
      <c r="P92" s="2417"/>
      <c r="Q92" s="485"/>
    </row>
    <row r="93" spans="1:17" ht="15.75" thickBot="1">
      <c r="A93" s="516"/>
      <c r="B93" s="526"/>
      <c r="C93" s="544">
        <v>100</v>
      </c>
      <c r="D93" s="518">
        <v>98</v>
      </c>
      <c r="E93" s="518">
        <v>96</v>
      </c>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44"/>
      <c r="E95" s="544"/>
      <c r="F95" s="544"/>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54"/>
      <c r="D97" s="554"/>
      <c r="E97" s="554"/>
      <c r="F97" s="554"/>
      <c r="G97" s="518"/>
      <c r="H97" s="518"/>
      <c r="I97" s="518"/>
      <c r="J97" s="518"/>
      <c r="K97" s="518"/>
      <c r="L97" s="518"/>
      <c r="M97" s="519"/>
      <c r="N97" s="1263"/>
      <c r="O97" s="1263"/>
      <c r="P97" s="2417"/>
      <c r="Q97" s="485"/>
    </row>
    <row r="98" spans="1:17" ht="15.75" thickTop="1">
      <c r="A98" s="516"/>
      <c r="B98" s="529">
        <f>B31</f>
        <v>111</v>
      </c>
      <c r="C98" s="571"/>
      <c r="D98" s="571"/>
      <c r="E98" s="571"/>
      <c r="F98" s="571"/>
      <c r="G98" s="571"/>
      <c r="H98" s="571"/>
      <c r="I98" s="571"/>
      <c r="J98" s="571"/>
      <c r="K98" s="572"/>
      <c r="L98" s="573"/>
      <c r="M98" s="574"/>
      <c r="N98" s="1262"/>
      <c r="O98" s="1262"/>
      <c r="P98" s="2417"/>
      <c r="Q98" s="485"/>
    </row>
    <row r="99" spans="1:17" ht="15.75" thickBot="1">
      <c r="A99" s="2423"/>
      <c r="B99" s="553"/>
      <c r="C99" s="575"/>
      <c r="D99" s="575"/>
      <c r="E99" s="575"/>
      <c r="F99" s="575"/>
      <c r="G99" s="575"/>
      <c r="H99" s="575"/>
      <c r="I99" s="575"/>
      <c r="J99" s="575"/>
      <c r="K99" s="575"/>
      <c r="L99" s="575"/>
      <c r="M99" s="576"/>
      <c r="N99" s="1263"/>
      <c r="O99" s="1263"/>
      <c r="P99" s="2417"/>
      <c r="Q99" s="485"/>
    </row>
    <row r="100" spans="1:17">
      <c r="A100" s="508" t="s">
        <v>2358</v>
      </c>
      <c r="B100" s="509" t="s">
        <v>2407</v>
      </c>
      <c r="C100" s="2765" t="s">
        <v>2949</v>
      </c>
      <c r="D100" s="2765" t="s">
        <v>2950</v>
      </c>
      <c r="E100" s="2765" t="s">
        <v>2951</v>
      </c>
      <c r="F100" s="2765" t="s">
        <v>2952</v>
      </c>
      <c r="G100" s="511"/>
      <c r="H100" s="511"/>
      <c r="I100" s="511"/>
      <c r="J100" s="511"/>
      <c r="K100" s="512"/>
      <c r="L100" s="513"/>
      <c r="M100" s="514"/>
      <c r="N100" s="1262"/>
      <c r="O100" s="1262"/>
      <c r="P100" s="2417"/>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3"/>
      <c r="O101" s="1263"/>
      <c r="P101" s="2417"/>
      <c r="Q101" s="485"/>
    </row>
    <row r="102" spans="1:17" ht="15.75" thickTop="1">
      <c r="A102" s="516"/>
      <c r="B102" s="521" t="s">
        <v>2408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1"/>
      <c r="O102" s="1261"/>
      <c r="P102" s="2417"/>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4"/>
      <c r="O103" s="1264"/>
      <c r="P103" s="2418"/>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8"/>
      <c r="N104" s="1263"/>
      <c r="O104" s="1263"/>
      <c r="P104" s="2418"/>
      <c r="Q104" s="543"/>
    </row>
    <row r="105" spans="1:17" ht="15" thickTop="1">
      <c r="A105" s="583"/>
      <c r="B105" s="521" t="s">
        <v>2409</v>
      </c>
      <c r="C105" s="2771" t="s">
        <v>2953</v>
      </c>
      <c r="D105" s="2771" t="s">
        <v>2954</v>
      </c>
      <c r="E105" s="2776" t="s">
        <v>2955</v>
      </c>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3"/>
      <c r="O106" s="1263"/>
      <c r="P106" s="2417"/>
      <c r="Q106" s="485"/>
    </row>
    <row r="107" spans="1:17" ht="15" thickTop="1">
      <c r="A107" s="583"/>
      <c r="B107" s="521" t="s">
        <v>2410</v>
      </c>
      <c r="C107" s="2766" t="s">
        <v>2956</v>
      </c>
      <c r="D107" s="2766" t="s">
        <v>2957</v>
      </c>
      <c r="E107" s="2766" t="s">
        <v>2958</v>
      </c>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3"/>
      <c r="O108" s="1263"/>
      <c r="P108" s="2417"/>
      <c r="Q108" s="485"/>
    </row>
    <row r="109" spans="1:17" ht="15" thickTop="1">
      <c r="A109" s="583"/>
      <c r="B109" s="521" t="s">
        <v>2411</v>
      </c>
      <c r="C109" s="2764" t="s">
        <v>2959</v>
      </c>
      <c r="D109" s="2764" t="s">
        <v>2960</v>
      </c>
      <c r="E109" s="2764" t="s">
        <v>2961</v>
      </c>
      <c r="F109" s="567" t="s">
        <v>2962</v>
      </c>
      <c r="G109" s="567"/>
      <c r="H109" s="567"/>
      <c r="I109" s="567"/>
      <c r="J109" s="567"/>
      <c r="K109" s="568"/>
      <c r="L109" s="569"/>
      <c r="M109" s="570"/>
      <c r="N109" s="1262"/>
      <c r="O109" s="1262"/>
      <c r="P109" s="241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3"/>
      <c r="O110" s="1263"/>
      <c r="P110" s="2417"/>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4"/>
      <c r="O113" s="1264"/>
      <c r="P113" s="2418"/>
      <c r="Q113" s="543"/>
    </row>
    <row r="114" spans="1:17" ht="15" thickTop="1">
      <c r="A114" s="583"/>
      <c r="B114" s="521" t="s">
        <v>2413</v>
      </c>
      <c r="C114" s="2764" t="s">
        <v>2963</v>
      </c>
      <c r="D114" s="2764" t="s">
        <v>2964</v>
      </c>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3"/>
      <c r="O115" s="1263"/>
      <c r="P115" s="2417"/>
      <c r="Q115" s="485"/>
    </row>
    <row r="116" spans="1:17" ht="15" thickTop="1">
      <c r="A116" s="583"/>
      <c r="B116" s="521" t="s">
        <v>2414</v>
      </c>
      <c r="C116" s="2764" t="s">
        <v>2965</v>
      </c>
      <c r="D116" s="2764" t="s">
        <v>2966</v>
      </c>
      <c r="E116" s="2764" t="s">
        <v>2967</v>
      </c>
      <c r="F116" s="2764" t="s">
        <v>2968</v>
      </c>
      <c r="G116" s="2764" t="s">
        <v>2969</v>
      </c>
      <c r="H116" s="567"/>
      <c r="I116" s="567"/>
      <c r="J116" s="567"/>
      <c r="K116" s="568"/>
      <c r="L116" s="569"/>
      <c r="M116" s="570"/>
      <c r="N116" s="1262"/>
      <c r="O116" s="1262"/>
      <c r="P116" s="241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3"/>
      <c r="O117" s="1263"/>
      <c r="P117" s="2417"/>
      <c r="Q117" s="485"/>
    </row>
    <row r="118" spans="1:17" ht="15" thickTop="1">
      <c r="A118" s="583"/>
      <c r="B118" s="521" t="s">
        <v>2415</v>
      </c>
      <c r="C118" s="2766" t="s">
        <v>2970</v>
      </c>
      <c r="D118" s="2766" t="s">
        <v>2971</v>
      </c>
      <c r="E118" s="567"/>
      <c r="F118" s="567"/>
      <c r="G118" s="567"/>
      <c r="H118" s="567"/>
      <c r="I118" s="567"/>
      <c r="J118" s="567"/>
      <c r="K118" s="568"/>
      <c r="L118" s="569"/>
      <c r="M118" s="570"/>
      <c r="N118" s="1262"/>
      <c r="O118" s="1262"/>
      <c r="P118" s="2417"/>
      <c r="Q118" s="485"/>
    </row>
    <row r="119" spans="1:17" ht="15.75" thickBot="1">
      <c r="A119" s="516"/>
      <c r="B119" s="526"/>
      <c r="C119" s="527">
        <v>100</v>
      </c>
      <c r="D119" s="527">
        <f t="shared" ref="D119:M119" si="28">C119-$K40</f>
        <v>103</v>
      </c>
      <c r="E119" s="527">
        <f t="shared" si="28"/>
        <v>106</v>
      </c>
      <c r="F119" s="527">
        <f t="shared" si="28"/>
        <v>109</v>
      </c>
      <c r="G119" s="527">
        <f t="shared" si="28"/>
        <v>112</v>
      </c>
      <c r="H119" s="527">
        <f t="shared" si="28"/>
        <v>115</v>
      </c>
      <c r="I119" s="527">
        <f t="shared" si="28"/>
        <v>118</v>
      </c>
      <c r="J119" s="527">
        <f t="shared" si="28"/>
        <v>121</v>
      </c>
      <c r="K119" s="527">
        <f t="shared" si="28"/>
        <v>124</v>
      </c>
      <c r="L119" s="527">
        <f t="shared" si="28"/>
        <v>127</v>
      </c>
      <c r="M119" s="527">
        <f t="shared" si="28"/>
        <v>130</v>
      </c>
      <c r="N119" s="1263"/>
      <c r="O119" s="1263"/>
      <c r="P119" s="2417"/>
      <c r="Q119" s="485"/>
    </row>
    <row r="120" spans="1:17" s="452" customFormat="1" ht="28.5" thickTop="1">
      <c r="A120" s="577"/>
      <c r="B120" s="521" t="s">
        <v>2369</v>
      </c>
      <c r="C120" s="537"/>
      <c r="D120" s="537"/>
      <c r="E120" s="537"/>
      <c r="F120" s="537"/>
      <c r="G120" s="537"/>
      <c r="H120" s="537"/>
      <c r="I120" s="537"/>
      <c r="J120" s="537"/>
      <c r="K120" s="537"/>
      <c r="L120" s="564"/>
      <c r="M120" s="565"/>
      <c r="N120" s="1264"/>
      <c r="O120" s="1264"/>
      <c r="P120" s="2418"/>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18"/>
      <c r="Q121" s="543"/>
    </row>
    <row r="122" spans="1:17" ht="15" thickTop="1">
      <c r="A122" s="583"/>
      <c r="B122" s="521" t="s">
        <v>2416</v>
      </c>
      <c r="C122" s="2764" t="s">
        <v>2959</v>
      </c>
      <c r="D122" s="2764" t="s">
        <v>2960</v>
      </c>
      <c r="E122" s="2764" t="s">
        <v>2961</v>
      </c>
      <c r="F122" s="567" t="s">
        <v>2962</v>
      </c>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44"/>
      <c r="E129" s="544"/>
      <c r="F129" s="544"/>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row r="136" spans="1:17" ht="15" thickBot="1">
      <c r="B136" s="2424" t="s">
        <v>2418</v>
      </c>
    </row>
    <row r="137" spans="1:17" ht="15">
      <c r="B137" s="2425" t="s">
        <v>2419</v>
      </c>
      <c r="C137" s="2426"/>
      <c r="D137" s="2426"/>
      <c r="E137" s="2426"/>
      <c r="F137" s="2426"/>
      <c r="G137" s="2427"/>
      <c r="H137" s="2428"/>
      <c r="I137" s="2429" t="s">
        <v>2420</v>
      </c>
      <c r="J137" s="2426"/>
      <c r="K137" s="2430"/>
    </row>
    <row r="138" spans="1:17" ht="15">
      <c r="B138" s="2431"/>
      <c r="C138" s="62" t="s">
        <v>2421</v>
      </c>
      <c r="D138" s="62" t="s">
        <v>2422</v>
      </c>
      <c r="E138" s="2432" t="s">
        <v>2423</v>
      </c>
      <c r="F138" s="2433" t="s">
        <v>2424</v>
      </c>
      <c r="G138" s="62" t="s">
        <v>2422</v>
      </c>
      <c r="H138" s="63" t="s">
        <v>2423</v>
      </c>
      <c r="I138" s="2434"/>
      <c r="J138" s="62" t="s">
        <v>2425</v>
      </c>
      <c r="K138" s="63" t="s">
        <v>2426</v>
      </c>
    </row>
    <row r="139" spans="1:17" ht="15">
      <c r="B139" s="1120">
        <v>6</v>
      </c>
      <c r="C139" s="1128">
        <v>96</v>
      </c>
      <c r="D139" s="2435" t="s">
        <v>2427</v>
      </c>
      <c r="E139" s="1129">
        <v>100</v>
      </c>
      <c r="F139" s="1130">
        <v>102.5</v>
      </c>
      <c r="G139" s="2435" t="s">
        <v>2427</v>
      </c>
      <c r="H139" s="1131">
        <v>105</v>
      </c>
      <c r="I139" s="2436" t="s">
        <v>2428</v>
      </c>
      <c r="J139" s="1128">
        <v>20</v>
      </c>
      <c r="K139" s="1122">
        <f>C145/(J139-2)</f>
        <v>4.0555555555555553E-3</v>
      </c>
    </row>
    <row r="140" spans="1:17" ht="15">
      <c r="B140" s="1121">
        <v>5</v>
      </c>
      <c r="C140" s="1132">
        <v>100</v>
      </c>
      <c r="D140" s="1132"/>
      <c r="E140" s="1133"/>
      <c r="F140" s="1134">
        <v>102</v>
      </c>
      <c r="G140" s="1132"/>
      <c r="H140" s="1135"/>
      <c r="I140" s="2437" t="s">
        <v>2429</v>
      </c>
      <c r="J140" s="217">
        <f>ROUNDUP((J139-1)/2,0)</f>
        <v>10</v>
      </c>
      <c r="K140" s="1123">
        <v>100</v>
      </c>
    </row>
    <row r="141" spans="1:17" ht="15">
      <c r="B141" s="1121">
        <v>4</v>
      </c>
      <c r="C141" s="1132">
        <v>102</v>
      </c>
      <c r="D141" s="1132"/>
      <c r="E141" s="1133"/>
      <c r="F141" s="1134">
        <v>101.5</v>
      </c>
      <c r="G141" s="1132"/>
      <c r="H141" s="1135"/>
      <c r="I141" s="2437" t="s">
        <v>2430</v>
      </c>
      <c r="J141" s="217">
        <v>1</v>
      </c>
      <c r="K141" s="1124">
        <f>ROUND(100+(J141-J140)*K139*100,1)</f>
        <v>96.4</v>
      </c>
    </row>
    <row r="142" spans="1:17" ht="15">
      <c r="B142" s="1121">
        <v>3</v>
      </c>
      <c r="C142" s="1132">
        <v>103</v>
      </c>
      <c r="D142" s="1132"/>
      <c r="E142" s="1133"/>
      <c r="F142" s="1134">
        <v>101</v>
      </c>
      <c r="G142" s="1132"/>
      <c r="H142" s="1135"/>
      <c r="I142" s="2437" t="s">
        <v>2431</v>
      </c>
      <c r="J142" s="217">
        <f>J139</f>
        <v>20</v>
      </c>
      <c r="K142" s="1137">
        <v>95</v>
      </c>
    </row>
    <row r="143" spans="1:17" ht="15">
      <c r="B143" s="1121">
        <v>2</v>
      </c>
      <c r="C143" s="1132">
        <v>100</v>
      </c>
      <c r="D143" s="1132"/>
      <c r="E143" s="1133"/>
      <c r="F143" s="1134">
        <v>100.5</v>
      </c>
      <c r="G143" s="1132"/>
      <c r="H143" s="1135"/>
      <c r="I143" s="2437" t="s">
        <v>2432</v>
      </c>
      <c r="J143" s="1132">
        <v>15</v>
      </c>
      <c r="K143" s="1124">
        <f>ROUND(100+(J143-J140)*K139*100,1)</f>
        <v>102</v>
      </c>
    </row>
    <row r="144" spans="1:17" ht="15">
      <c r="B144" s="1121">
        <v>1</v>
      </c>
      <c r="C144" s="1132">
        <v>98</v>
      </c>
      <c r="D144" s="2438" t="s">
        <v>2433</v>
      </c>
      <c r="E144" s="1133">
        <v>102</v>
      </c>
      <c r="F144" s="1136">
        <v>100</v>
      </c>
      <c r="G144" s="2438" t="s">
        <v>2433</v>
      </c>
      <c r="H144" s="1135">
        <v>105</v>
      </c>
      <c r="I144" s="2437" t="s">
        <v>2432</v>
      </c>
      <c r="J144" s="1132">
        <v>18</v>
      </c>
      <c r="K144" s="1124">
        <f>ROUND(100+(J144-J140)*K139*100,1)</f>
        <v>103.2</v>
      </c>
    </row>
    <row r="145" spans="2:11" ht="15.75" thickBot="1">
      <c r="B145" s="2439" t="s">
        <v>2434</v>
      </c>
      <c r="C145" s="1126">
        <f>ROUND(MAX(C139:C144)/MIN(C139:C144)-1,3)</f>
        <v>7.2999999999999995E-2</v>
      </c>
      <c r="D145" s="1127"/>
      <c r="E145" s="1127"/>
      <c r="F145" s="2440" t="s">
        <v>2435</v>
      </c>
      <c r="G145" s="2441"/>
      <c r="H145" s="2442"/>
      <c r="I145" s="2443" t="s">
        <v>2432</v>
      </c>
      <c r="J145" s="1138">
        <v>8</v>
      </c>
      <c r="K145" s="1125">
        <f>ROUND(100+(J145-J140)*K139*100,1)</f>
        <v>99.2</v>
      </c>
    </row>
    <row r="147" spans="2:11">
      <c r="B147" s="2424" t="s">
        <v>2436</v>
      </c>
    </row>
    <row r="148" spans="2:11">
      <c r="B148" s="2424"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2438</v>
      </c>
      <c r="C1" s="1721"/>
      <c r="D1" s="2444"/>
      <c r="E1" s="2373"/>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6"/>
      <c r="I2" s="976"/>
      <c r="J2" s="976"/>
      <c r="K2" s="976"/>
      <c r="L2" s="1236"/>
      <c r="M2" s="1237"/>
      <c r="N2" s="1237"/>
      <c r="O2" s="1237"/>
      <c r="P2" s="2446"/>
      <c r="Q2" s="746"/>
      <c r="R2" s="746"/>
      <c r="S2" s="746"/>
      <c r="T2" s="746"/>
      <c r="U2" s="746"/>
      <c r="V2" s="746"/>
      <c r="W2" s="746"/>
      <c r="X2" s="746"/>
      <c r="Y2" s="746"/>
      <c r="Z2" s="746"/>
      <c r="AA2" s="746"/>
      <c r="AB2" s="746"/>
      <c r="AC2" s="747"/>
    </row>
    <row r="3" spans="1:29" s="377" customFormat="1" ht="28.5" customHeight="1" thickBot="1">
      <c r="A3" s="167" t="s">
        <v>1998</v>
      </c>
      <c r="B3" s="593" t="e">
        <f ca="1">ROUND(IF(D2="——",C49,IF(C2="万元",B2*10000/D3,B2/D3)),0)</f>
        <v>#DIV/0!</v>
      </c>
      <c r="C3" s="379" t="s">
        <v>2328</v>
      </c>
      <c r="D3" s="378">
        <f>IF(C1="仅计算典型户型",'数据-取费表'!E5,'数据-取费表'!B5)</f>
        <v>261.58999999999997</v>
      </c>
      <c r="E3" s="2447"/>
      <c r="F3" s="977"/>
      <c r="G3" s="976"/>
      <c r="H3" s="976"/>
      <c r="I3" s="976"/>
      <c r="J3" s="976"/>
      <c r="K3" s="978"/>
      <c r="L3" s="1236"/>
      <c r="M3" s="1237"/>
      <c r="N3" s="1237"/>
      <c r="O3" s="1237"/>
      <c r="P3" s="2446"/>
      <c r="Q3" s="746"/>
      <c r="R3" s="746"/>
      <c r="S3" s="746"/>
      <c r="T3" s="746"/>
      <c r="U3" s="746"/>
      <c r="V3" s="746"/>
      <c r="W3" s="746"/>
      <c r="X3" s="746"/>
      <c r="Y3" s="746"/>
      <c r="Z3" s="746"/>
      <c r="AA3" s="746"/>
      <c r="AB3" s="74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63" t="s">
        <v>2332</v>
      </c>
      <c r="AC4" s="3044" t="s">
        <v>2333</v>
      </c>
    </row>
    <row r="5" spans="1:29"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63"/>
      <c r="AC5" s="3045"/>
    </row>
    <row r="6" spans="1:29"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63"/>
      <c r="AC6" s="3046"/>
    </row>
    <row r="7" spans="1:29" s="35" customFormat="1" ht="15.75" thickBot="1">
      <c r="A7" s="387" t="s">
        <v>2342</v>
      </c>
      <c r="B7" s="388"/>
      <c r="C7" s="389">
        <f>'数据-取费表'!B2</f>
        <v>43888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75" t="s">
        <v>2346</v>
      </c>
      <c r="Q8" s="3076"/>
      <c r="R8" s="748" t="s">
        <v>25</v>
      </c>
      <c r="S8" s="749">
        <f t="shared" si="0"/>
        <v>0</v>
      </c>
      <c r="T8" s="748" t="s">
        <v>25</v>
      </c>
      <c r="U8" s="749">
        <f t="shared" si="1"/>
        <v>0</v>
      </c>
      <c r="V8" s="748" t="s">
        <v>25</v>
      </c>
      <c r="W8" s="749">
        <f t="shared" si="2"/>
        <v>0</v>
      </c>
      <c r="X8" s="750"/>
      <c r="Y8" s="3075" t="s">
        <v>2346</v>
      </c>
      <c r="Z8" s="3076"/>
      <c r="AA8" s="751" t="e">
        <f t="shared" ref="AA8:AA46" si="3">D8/F8</f>
        <v>#DIV/0!</v>
      </c>
      <c r="AB8" s="751" t="e">
        <f t="shared" ref="AB8:AB46" si="4">D8/H8</f>
        <v>#DIV/0!</v>
      </c>
      <c r="AC8" s="751"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78"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78"/>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78"/>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78"/>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78"/>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78"/>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15">
      <c r="A15" s="419" t="s">
        <v>2353</v>
      </c>
      <c r="B15" s="26" t="s">
        <v>2439</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1" t="s">
        <v>2354</v>
      </c>
      <c r="Q15" s="1893" t="str">
        <f t="shared" si="6"/>
        <v>商业繁华度</v>
      </c>
      <c r="R15" s="752" t="s">
        <v>25</v>
      </c>
      <c r="S15" s="753">
        <f t="shared" si="0"/>
        <v>100</v>
      </c>
      <c r="T15" s="752" t="s">
        <v>25</v>
      </c>
      <c r="U15" s="753">
        <f t="shared" si="1"/>
        <v>100</v>
      </c>
      <c r="V15" s="752" t="s">
        <v>25</v>
      </c>
      <c r="W15" s="753">
        <f t="shared" si="2"/>
        <v>100</v>
      </c>
      <c r="X15" s="1894"/>
      <c r="Y15" s="3068" t="s">
        <v>2354</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2"/>
      <c r="Q16" s="1893"/>
      <c r="R16" s="752"/>
      <c r="S16" s="753"/>
      <c r="T16" s="752"/>
      <c r="U16" s="753"/>
      <c r="V16" s="752"/>
      <c r="W16" s="753"/>
      <c r="X16" s="1894"/>
      <c r="Y16" s="3069"/>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2"/>
      <c r="Q17" s="1893" t="str">
        <f>B17</f>
        <v>交通便捷度</v>
      </c>
      <c r="R17" s="752" t="s">
        <v>25</v>
      </c>
      <c r="S17" s="753">
        <f>F17</f>
        <v>100</v>
      </c>
      <c r="T17" s="752" t="s">
        <v>25</v>
      </c>
      <c r="U17" s="753">
        <f>H17</f>
        <v>100</v>
      </c>
      <c r="V17" s="752" t="s">
        <v>25</v>
      </c>
      <c r="W17" s="753">
        <f>J17</f>
        <v>100</v>
      </c>
      <c r="X17" s="1894"/>
      <c r="Y17" s="3069"/>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39"/>
      <c r="P18" s="3082"/>
      <c r="Q18" s="1893"/>
      <c r="R18" s="752"/>
      <c r="S18" s="753"/>
      <c r="T18" s="752"/>
      <c r="U18" s="753"/>
      <c r="V18" s="752"/>
      <c r="W18" s="753"/>
      <c r="X18" s="1894"/>
      <c r="Y18" s="3069"/>
      <c r="Z18" s="1896"/>
      <c r="AA18" s="1897">
        <v>1</v>
      </c>
      <c r="AB18" s="1897">
        <v>1</v>
      </c>
      <c r="AC18" s="1897">
        <v>1</v>
      </c>
    </row>
    <row r="19" spans="1:29" ht="42.75">
      <c r="A19" s="408"/>
      <c r="B19" s="431" t="s">
        <v>2440</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2"/>
      <c r="Q19" s="1893" t="str">
        <f>B19</f>
        <v>公共配套设施</v>
      </c>
      <c r="R19" s="752" t="s">
        <v>25</v>
      </c>
      <c r="S19" s="753">
        <f>F19</f>
        <v>100</v>
      </c>
      <c r="T19" s="752" t="s">
        <v>25</v>
      </c>
      <c r="U19" s="753">
        <f>H19</f>
        <v>100</v>
      </c>
      <c r="V19" s="752" t="s">
        <v>25</v>
      </c>
      <c r="W19" s="753">
        <f>J19</f>
        <v>100</v>
      </c>
      <c r="X19" s="1894"/>
      <c r="Y19" s="3069"/>
      <c r="Z19" s="1896" t="str">
        <f>Q19</f>
        <v>公共配套设施</v>
      </c>
      <c r="AA19" s="1897">
        <f t="shared" si="3"/>
        <v>1</v>
      </c>
      <c r="AB19" s="1897">
        <f t="shared" si="4"/>
        <v>1</v>
      </c>
      <c r="AC19" s="1897">
        <f t="shared" si="5"/>
        <v>1</v>
      </c>
    </row>
    <row r="20" spans="1:29" ht="15">
      <c r="A20" s="408"/>
      <c r="B20" s="436"/>
      <c r="C20" s="426"/>
      <c r="D20" s="427"/>
      <c r="E20" s="428"/>
      <c r="F20" s="429"/>
      <c r="G20" s="2395"/>
      <c r="H20" s="427"/>
      <c r="I20" s="428"/>
      <c r="J20" s="427"/>
      <c r="K20" s="599"/>
      <c r="L20" s="1248"/>
      <c r="M20" s="1239"/>
      <c r="N20" s="1239"/>
      <c r="O20" s="1239"/>
      <c r="P20" s="3082"/>
      <c r="Q20" s="1893"/>
      <c r="R20" s="752"/>
      <c r="S20" s="753"/>
      <c r="T20" s="752"/>
      <c r="U20" s="753"/>
      <c r="V20" s="752"/>
      <c r="W20" s="753"/>
      <c r="X20" s="1894"/>
      <c r="Y20" s="3069"/>
      <c r="Z20" s="1896"/>
      <c r="AA20" s="1897">
        <v>1</v>
      </c>
      <c r="AB20" s="1897">
        <v>1</v>
      </c>
      <c r="AC20" s="1897">
        <v>1</v>
      </c>
    </row>
    <row r="21" spans="1:29" ht="42.75">
      <c r="A21" s="408"/>
      <c r="B21" s="2399" t="s">
        <v>2441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2"/>
      <c r="Q21" s="1893" t="str">
        <f>B21</f>
        <v>基础设施水平</v>
      </c>
      <c r="R21" s="752" t="s">
        <v>25</v>
      </c>
      <c r="S21" s="753">
        <f>F21</f>
        <v>100</v>
      </c>
      <c r="T21" s="752" t="s">
        <v>25</v>
      </c>
      <c r="U21" s="753">
        <f>H21</f>
        <v>100</v>
      </c>
      <c r="V21" s="752" t="s">
        <v>25</v>
      </c>
      <c r="W21" s="753">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39"/>
      <c r="P22" s="3082"/>
      <c r="Q22" s="1893"/>
      <c r="R22" s="752"/>
      <c r="S22" s="753"/>
      <c r="T22" s="752"/>
      <c r="U22" s="753"/>
      <c r="V22" s="752"/>
      <c r="W22" s="753"/>
      <c r="X22" s="1894"/>
      <c r="Y22" s="3069"/>
      <c r="Z22" s="1896"/>
      <c r="AA22" s="1897">
        <v>1</v>
      </c>
      <c r="AB22" s="1897">
        <v>1</v>
      </c>
      <c r="AC22" s="1897">
        <v>1</v>
      </c>
    </row>
    <row r="23" spans="1:29" ht="71.25">
      <c r="A23" s="408"/>
      <c r="B23" s="431" t="s">
        <v>1745</v>
      </c>
      <c r="C23" s="2448"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2"/>
      <c r="Q23" s="1893" t="str">
        <f>B23</f>
        <v>自然及人文环境</v>
      </c>
      <c r="R23" s="752" t="s">
        <v>25</v>
      </c>
      <c r="S23" s="753">
        <f>F23</f>
        <v>100</v>
      </c>
      <c r="T23" s="752" t="s">
        <v>25</v>
      </c>
      <c r="U23" s="753">
        <f>H23</f>
        <v>100</v>
      </c>
      <c r="V23" s="752" t="s">
        <v>25</v>
      </c>
      <c r="W23" s="753">
        <f>J23</f>
        <v>100</v>
      </c>
      <c r="X23" s="1894"/>
      <c r="Y23" s="3069"/>
      <c r="Z23" s="1896" t="str">
        <f>Q23</f>
        <v>自然及人文环境</v>
      </c>
      <c r="AA23" s="1897">
        <f t="shared" si="3"/>
        <v>1</v>
      </c>
      <c r="AB23" s="1897">
        <f t="shared" si="4"/>
        <v>1</v>
      </c>
      <c r="AC23" s="1897">
        <f t="shared" si="5"/>
        <v>1</v>
      </c>
    </row>
    <row r="24" spans="1:29" ht="15">
      <c r="A24" s="408"/>
      <c r="B24" s="436"/>
      <c r="C24" s="426"/>
      <c r="D24" s="427"/>
      <c r="E24" s="428"/>
      <c r="F24" s="429"/>
      <c r="G24" s="2395"/>
      <c r="H24" s="427"/>
      <c r="I24" s="428"/>
      <c r="J24" s="427"/>
      <c r="K24" s="599"/>
      <c r="L24" s="1248"/>
      <c r="M24" s="1239"/>
      <c r="N24" s="1239"/>
      <c r="O24" s="1239"/>
      <c r="P24" s="3082"/>
      <c r="Q24" s="1893"/>
      <c r="R24" s="752"/>
      <c r="S24" s="753"/>
      <c r="T24" s="752"/>
      <c r="U24" s="753"/>
      <c r="V24" s="752"/>
      <c r="W24" s="753"/>
      <c r="X24" s="1894"/>
      <c r="Y24" s="3069"/>
      <c r="Z24" s="1896"/>
      <c r="AA24" s="1897">
        <v>1</v>
      </c>
      <c r="AB24" s="1897">
        <v>1</v>
      </c>
      <c r="AC24" s="1897">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2"/>
      <c r="Q25" s="1893" t="str">
        <f t="shared" ref="Q25:Q46" si="11">B25</f>
        <v>临街状况</v>
      </c>
      <c r="R25" s="752" t="s">
        <v>25</v>
      </c>
      <c r="S25" s="753">
        <f>F25</f>
        <v>100</v>
      </c>
      <c r="T25" s="752" t="s">
        <v>25</v>
      </c>
      <c r="U25" s="753">
        <f>H25</f>
        <v>100</v>
      </c>
      <c r="V25" s="752" t="s">
        <v>25</v>
      </c>
      <c r="W25" s="753">
        <f>J25</f>
        <v>100</v>
      </c>
      <c r="X25" s="1894"/>
      <c r="Y25" s="3069"/>
      <c r="Z25" s="1896" t="str">
        <f>Q25</f>
        <v>临街状况</v>
      </c>
      <c r="AA25" s="1897">
        <f t="shared" si="3"/>
        <v>1</v>
      </c>
      <c r="AB25" s="1897">
        <f t="shared" si="4"/>
        <v>1</v>
      </c>
      <c r="AC25" s="1897">
        <f t="shared" si="5"/>
        <v>1</v>
      </c>
    </row>
    <row r="26" spans="1:29" ht="15">
      <c r="A26" s="408"/>
      <c r="B26" s="2403" t="s">
        <v>2443</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2"/>
      <c r="Q26" s="1893" t="str">
        <f t="shared" si="11"/>
        <v>平面位置/可视性</v>
      </c>
      <c r="R26" s="752" t="s">
        <v>25</v>
      </c>
      <c r="S26" s="753">
        <f>F26</f>
        <v>100</v>
      </c>
      <c r="T26" s="752" t="s">
        <v>25</v>
      </c>
      <c r="U26" s="753">
        <f>H26</f>
        <v>100</v>
      </c>
      <c r="V26" s="752" t="s">
        <v>25</v>
      </c>
      <c r="W26" s="753">
        <f>J26</f>
        <v>100</v>
      </c>
      <c r="X26" s="1894"/>
      <c r="Y26" s="3069"/>
      <c r="Z26" s="1896" t="str">
        <f>Q26</f>
        <v>平面位置/可视性</v>
      </c>
      <c r="AA26" s="1897">
        <f t="shared" si="3"/>
        <v>1</v>
      </c>
      <c r="AB26" s="1897">
        <f t="shared" si="4"/>
        <v>1</v>
      </c>
      <c r="AC26" s="1897">
        <f t="shared" si="5"/>
        <v>1</v>
      </c>
    </row>
    <row r="27" spans="1:29" s="35" customFormat="1" ht="15">
      <c r="A27" s="411"/>
      <c r="B27" s="431" t="s">
        <v>2444</v>
      </c>
      <c r="C27" s="2449"/>
      <c r="D27" s="443">
        <v>100</v>
      </c>
      <c r="E27" s="2449"/>
      <c r="F27" s="445">
        <f>SUMIF(90:90,E27,91:91)-SUMIF(90:90,C27,91:91)+100</f>
        <v>100</v>
      </c>
      <c r="G27" s="2449"/>
      <c r="H27" s="443">
        <f>SUMIF(90:90,G27,91:91)-SUMIF(90:90,C27,91:91)+100</f>
        <v>100</v>
      </c>
      <c r="I27" s="2449"/>
      <c r="J27" s="443">
        <f>SUMIF(90:90,I27,91:91)-SUMIF(90:90,C27,91:91)+100</f>
        <v>100</v>
      </c>
      <c r="K27" s="596"/>
      <c r="L27" s="1240"/>
      <c r="M27" s="1241"/>
      <c r="N27" s="1241"/>
      <c r="O27" s="1241"/>
      <c r="P27" s="3082"/>
      <c r="Q27" s="1881" t="str">
        <f t="shared" si="11"/>
        <v>人流量</v>
      </c>
      <c r="R27" s="748" t="s">
        <v>25</v>
      </c>
      <c r="S27" s="749">
        <f>F27</f>
        <v>100</v>
      </c>
      <c r="T27" s="748" t="s">
        <v>25</v>
      </c>
      <c r="U27" s="749">
        <f>H27</f>
        <v>100</v>
      </c>
      <c r="V27" s="748" t="s">
        <v>25</v>
      </c>
      <c r="W27" s="749">
        <f>J27</f>
        <v>100</v>
      </c>
      <c r="X27" s="750"/>
      <c r="Y27" s="3069"/>
      <c r="Z27" s="23" t="str">
        <f>Q27</f>
        <v>人流量</v>
      </c>
      <c r="AA27" s="1897">
        <f>D27/F27</f>
        <v>1</v>
      </c>
      <c r="AB27" s="1897">
        <f>D27/H27</f>
        <v>1</v>
      </c>
      <c r="AC27" s="1897">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2"/>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69"/>
      <c r="Z28" s="1896" t="str">
        <f t="shared" ref="Z28:Z46" si="15">Q28</f>
        <v>楼层</v>
      </c>
      <c r="AA28" s="1897">
        <f t="shared" si="3"/>
        <v>1</v>
      </c>
      <c r="AB28" s="1897">
        <f t="shared" si="4"/>
        <v>1</v>
      </c>
      <c r="AC28" s="1897">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2"/>
      <c r="Q29" s="1893">
        <f t="shared" si="11"/>
        <v>111</v>
      </c>
      <c r="R29" s="752" t="s">
        <v>25</v>
      </c>
      <c r="S29" s="753">
        <f t="shared" si="12"/>
        <v>100</v>
      </c>
      <c r="T29" s="752" t="s">
        <v>25</v>
      </c>
      <c r="U29" s="753">
        <f t="shared" si="13"/>
        <v>100</v>
      </c>
      <c r="V29" s="752" t="s">
        <v>25</v>
      </c>
      <c r="W29" s="753">
        <f t="shared" si="14"/>
        <v>100</v>
      </c>
      <c r="X29" s="1894"/>
      <c r="Y29" s="3069"/>
      <c r="Z29" s="1896">
        <f t="shared" si="15"/>
        <v>111</v>
      </c>
      <c r="AA29" s="1897">
        <f t="shared" si="3"/>
        <v>1</v>
      </c>
      <c r="AB29" s="1897">
        <f t="shared" si="4"/>
        <v>1</v>
      </c>
      <c r="AC29" s="1897">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2"/>
      <c r="Q30" s="1893">
        <f t="shared" si="11"/>
        <v>111</v>
      </c>
      <c r="R30" s="752" t="s">
        <v>25</v>
      </c>
      <c r="S30" s="753">
        <f t="shared" si="12"/>
        <v>100</v>
      </c>
      <c r="T30" s="752" t="s">
        <v>25</v>
      </c>
      <c r="U30" s="753">
        <f t="shared" si="13"/>
        <v>100</v>
      </c>
      <c r="V30" s="752" t="s">
        <v>25</v>
      </c>
      <c r="W30" s="753">
        <f t="shared" si="14"/>
        <v>100</v>
      </c>
      <c r="X30" s="1894"/>
      <c r="Y30" s="3069"/>
      <c r="Z30" s="1896">
        <f t="shared" si="15"/>
        <v>111</v>
      </c>
      <c r="AA30" s="1897">
        <f t="shared" si="3"/>
        <v>1</v>
      </c>
      <c r="AB30" s="1897">
        <f t="shared" si="4"/>
        <v>1</v>
      </c>
      <c r="AC30" s="1897">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2"/>
      <c r="Q31" s="1893">
        <f t="shared" si="11"/>
        <v>111</v>
      </c>
      <c r="R31" s="752" t="s">
        <v>25</v>
      </c>
      <c r="S31" s="753">
        <f t="shared" si="12"/>
        <v>100</v>
      </c>
      <c r="T31" s="752" t="s">
        <v>25</v>
      </c>
      <c r="U31" s="753">
        <f t="shared" si="13"/>
        <v>100</v>
      </c>
      <c r="V31" s="752" t="s">
        <v>25</v>
      </c>
      <c r="W31" s="753">
        <f t="shared" si="14"/>
        <v>100</v>
      </c>
      <c r="X31" s="1894"/>
      <c r="Y31" s="3069"/>
      <c r="Z31" s="1896">
        <f t="shared" si="15"/>
        <v>111</v>
      </c>
      <c r="AA31" s="1897">
        <f t="shared" si="3"/>
        <v>1</v>
      </c>
      <c r="AB31" s="1897">
        <f t="shared" si="4"/>
        <v>1</v>
      </c>
      <c r="AC31" s="1897">
        <f t="shared" si="5"/>
        <v>1</v>
      </c>
    </row>
    <row r="32" spans="1:29" ht="15">
      <c r="A32" s="419" t="s">
        <v>2358</v>
      </c>
      <c r="B32" s="28" t="s">
        <v>2446</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8"/>
      <c r="M32" s="1239"/>
      <c r="N32" s="1239"/>
      <c r="O32" s="1239"/>
      <c r="P32" s="3070" t="s">
        <v>2360</v>
      </c>
      <c r="Q32" s="1893" t="str">
        <f t="shared" si="11"/>
        <v>商业类型</v>
      </c>
      <c r="R32" s="752" t="s">
        <v>25</v>
      </c>
      <c r="S32" s="753">
        <f t="shared" si="12"/>
        <v>100</v>
      </c>
      <c r="T32" s="752" t="s">
        <v>25</v>
      </c>
      <c r="U32" s="753">
        <f t="shared" si="13"/>
        <v>100</v>
      </c>
      <c r="V32" s="752" t="s">
        <v>25</v>
      </c>
      <c r="W32" s="753">
        <f t="shared" si="14"/>
        <v>100</v>
      </c>
      <c r="X32" s="1894"/>
      <c r="Y32" s="3073" t="s">
        <v>2360</v>
      </c>
      <c r="Z32" s="1896" t="str">
        <f t="shared" si="15"/>
        <v>商业类型</v>
      </c>
      <c r="AA32" s="1897">
        <f t="shared" si="3"/>
        <v>1</v>
      </c>
      <c r="AB32" s="1897">
        <f t="shared" si="4"/>
        <v>1</v>
      </c>
      <c r="AC32" s="1897">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71"/>
      <c r="Q33" s="754" t="str">
        <f t="shared" si="11"/>
        <v>项目建筑规模</v>
      </c>
      <c r="R33" s="755" t="s">
        <v>25</v>
      </c>
      <c r="S33" s="756" t="e">
        <f t="shared" si="12"/>
        <v>#N/A</v>
      </c>
      <c r="T33" s="755" t="s">
        <v>25</v>
      </c>
      <c r="U33" s="756" t="e">
        <f t="shared" si="13"/>
        <v>#N/A</v>
      </c>
      <c r="V33" s="755" t="s">
        <v>25</v>
      </c>
      <c r="W33" s="756" t="e">
        <f t="shared" si="14"/>
        <v>#N/A</v>
      </c>
      <c r="X33" s="757"/>
      <c r="Y33" s="3073"/>
      <c r="Z33" s="758" t="str">
        <f t="shared" si="15"/>
        <v>项目建筑规模</v>
      </c>
      <c r="AA33" s="1897" t="e">
        <f t="shared" si="3"/>
        <v>#N/A</v>
      </c>
      <c r="AB33" s="1897" t="e">
        <f t="shared" si="4"/>
        <v>#N/A</v>
      </c>
      <c r="AC33" s="1897" t="e">
        <f t="shared" si="5"/>
        <v>#N/A</v>
      </c>
    </row>
    <row r="34" spans="1:29" ht="15">
      <c r="A34" s="453"/>
      <c r="B34" s="402" t="s">
        <v>2362</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8"/>
      <c r="M34" s="1239"/>
      <c r="N34" s="1239"/>
      <c r="O34" s="1239"/>
      <c r="P34" s="3071"/>
      <c r="Q34" s="1893" t="str">
        <f t="shared" si="11"/>
        <v>建筑结构</v>
      </c>
      <c r="R34" s="752" t="s">
        <v>25</v>
      </c>
      <c r="S34" s="753">
        <f t="shared" si="12"/>
        <v>100</v>
      </c>
      <c r="T34" s="752" t="s">
        <v>25</v>
      </c>
      <c r="U34" s="753">
        <f t="shared" si="13"/>
        <v>100</v>
      </c>
      <c r="V34" s="752" t="s">
        <v>25</v>
      </c>
      <c r="W34" s="753">
        <f t="shared" si="14"/>
        <v>100</v>
      </c>
      <c r="X34" s="1894"/>
      <c r="Y34" s="3073"/>
      <c r="Z34" s="1896" t="str">
        <f t="shared" si="15"/>
        <v>建筑结构</v>
      </c>
      <c r="AA34" s="1897">
        <f t="shared" si="3"/>
        <v>1</v>
      </c>
      <c r="AB34" s="1897">
        <f t="shared" si="4"/>
        <v>1</v>
      </c>
      <c r="AC34" s="1897">
        <f t="shared" si="5"/>
        <v>1</v>
      </c>
    </row>
    <row r="35" spans="1:29" ht="15">
      <c r="A35" s="453"/>
      <c r="B35" s="402" t="s">
        <v>2447</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8"/>
      <c r="M35" s="1239"/>
      <c r="N35" s="1239"/>
      <c r="O35" s="1239"/>
      <c r="P35" s="3071"/>
      <c r="Q35" s="1893" t="str">
        <f t="shared" si="11"/>
        <v>公共部分装修</v>
      </c>
      <c r="R35" s="752" t="s">
        <v>25</v>
      </c>
      <c r="S35" s="753">
        <f t="shared" si="12"/>
        <v>100</v>
      </c>
      <c r="T35" s="752" t="s">
        <v>25</v>
      </c>
      <c r="U35" s="753">
        <f t="shared" si="13"/>
        <v>100</v>
      </c>
      <c r="V35" s="752" t="s">
        <v>25</v>
      </c>
      <c r="W35" s="753">
        <f t="shared" si="14"/>
        <v>100</v>
      </c>
      <c r="X35" s="1894"/>
      <c r="Y35" s="3073"/>
      <c r="Z35" s="1896" t="str">
        <f t="shared" si="15"/>
        <v>公共部分装修</v>
      </c>
      <c r="AA35" s="1897">
        <f t="shared" si="3"/>
        <v>1</v>
      </c>
      <c r="AB35" s="1897">
        <f t="shared" si="4"/>
        <v>1</v>
      </c>
      <c r="AC35" s="1897">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71"/>
      <c r="Q36" s="1893" t="str">
        <f t="shared" si="11"/>
        <v>成新度</v>
      </c>
      <c r="R36" s="752" t="s">
        <v>25</v>
      </c>
      <c r="S36" s="753" t="e">
        <f t="shared" si="12"/>
        <v>#N/A</v>
      </c>
      <c r="T36" s="752" t="s">
        <v>25</v>
      </c>
      <c r="U36" s="753" t="e">
        <f t="shared" si="13"/>
        <v>#N/A</v>
      </c>
      <c r="V36" s="752" t="s">
        <v>25</v>
      </c>
      <c r="W36" s="753" t="e">
        <f t="shared" si="14"/>
        <v>#N/A</v>
      </c>
      <c r="X36" s="1894"/>
      <c r="Y36" s="3073"/>
      <c r="Z36" s="1896" t="str">
        <f t="shared" si="15"/>
        <v>成新度</v>
      </c>
      <c r="AA36" s="1897" t="e">
        <f t="shared" si="3"/>
        <v>#N/A</v>
      </c>
      <c r="AB36" s="1897" t="e">
        <f t="shared" si="4"/>
        <v>#N/A</v>
      </c>
      <c r="AC36" s="1897" t="e">
        <f t="shared" si="5"/>
        <v>#N/A</v>
      </c>
    </row>
    <row r="37" spans="1:29" s="35" customFormat="1" ht="15">
      <c r="A37" s="454"/>
      <c r="B37" s="402" t="s">
        <v>2449</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0"/>
      <c r="M37" s="1241"/>
      <c r="N37" s="1241"/>
      <c r="O37" s="1241"/>
      <c r="P37" s="3071"/>
      <c r="Q37" s="1881" t="str">
        <f t="shared" si="11"/>
        <v>市政基础设施</v>
      </c>
      <c r="R37" s="748" t="s">
        <v>25</v>
      </c>
      <c r="S37" s="749">
        <f t="shared" si="12"/>
        <v>100</v>
      </c>
      <c r="T37" s="748" t="s">
        <v>25</v>
      </c>
      <c r="U37" s="749">
        <f t="shared" si="13"/>
        <v>100</v>
      </c>
      <c r="V37" s="748" t="s">
        <v>25</v>
      </c>
      <c r="W37" s="749">
        <f t="shared" si="14"/>
        <v>100</v>
      </c>
      <c r="X37" s="750"/>
      <c r="Y37" s="3073"/>
      <c r="Z37" s="23" t="str">
        <f t="shared" si="15"/>
        <v>市政基础设施</v>
      </c>
      <c r="AA37" s="751">
        <f t="shared" si="3"/>
        <v>1</v>
      </c>
      <c r="AB37" s="751">
        <f t="shared" si="4"/>
        <v>1</v>
      </c>
      <c r="AC37" s="751">
        <f t="shared" si="5"/>
        <v>1</v>
      </c>
    </row>
    <row r="38" spans="1:29" ht="15">
      <c r="A38" s="453"/>
      <c r="B38" s="402" t="s">
        <v>2450</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8"/>
      <c r="M38" s="1239"/>
      <c r="N38" s="1239"/>
      <c r="O38" s="1239"/>
      <c r="P38" s="3071" t="s">
        <v>2360</v>
      </c>
      <c r="Q38" s="1893" t="str">
        <f t="shared" si="11"/>
        <v>业态</v>
      </c>
      <c r="R38" s="752" t="s">
        <v>25</v>
      </c>
      <c r="S38" s="753">
        <f t="shared" si="12"/>
        <v>100</v>
      </c>
      <c r="T38" s="752" t="s">
        <v>25</v>
      </c>
      <c r="U38" s="753">
        <f t="shared" si="13"/>
        <v>100</v>
      </c>
      <c r="V38" s="752" t="s">
        <v>25</v>
      </c>
      <c r="W38" s="753">
        <f t="shared" si="14"/>
        <v>100</v>
      </c>
      <c r="X38" s="1894"/>
      <c r="Y38" s="3073" t="s">
        <v>2360</v>
      </c>
      <c r="Z38" s="1896" t="str">
        <f t="shared" si="15"/>
        <v>业态</v>
      </c>
      <c r="AA38" s="1897">
        <f t="shared" si="3"/>
        <v>1</v>
      </c>
      <c r="AB38" s="1897">
        <f t="shared" si="4"/>
        <v>1</v>
      </c>
      <c r="AC38" s="1897">
        <f t="shared" si="5"/>
        <v>1</v>
      </c>
    </row>
    <row r="39" spans="1:29" ht="15">
      <c r="A39" s="453"/>
      <c r="B39" s="402" t="s">
        <v>2451</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8"/>
      <c r="M39" s="1239"/>
      <c r="N39" s="1239"/>
      <c r="O39" s="1239"/>
      <c r="P39" s="3071"/>
      <c r="Q39" s="1893" t="str">
        <f t="shared" si="11"/>
        <v>层高</v>
      </c>
      <c r="R39" s="752" t="s">
        <v>25</v>
      </c>
      <c r="S39" s="753">
        <f t="shared" si="12"/>
        <v>100</v>
      </c>
      <c r="T39" s="752" t="s">
        <v>25</v>
      </c>
      <c r="U39" s="753">
        <f t="shared" si="13"/>
        <v>100</v>
      </c>
      <c r="V39" s="752" t="s">
        <v>25</v>
      </c>
      <c r="W39" s="753">
        <f t="shared" si="14"/>
        <v>100</v>
      </c>
      <c r="X39" s="1894"/>
      <c r="Y39" s="3073"/>
      <c r="Z39" s="1896" t="str">
        <f t="shared" si="15"/>
        <v>层高</v>
      </c>
      <c r="AA39" s="1897">
        <f t="shared" si="3"/>
        <v>1</v>
      </c>
      <c r="AB39" s="1897">
        <f t="shared" si="4"/>
        <v>1</v>
      </c>
      <c r="AC39" s="1897">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71"/>
      <c r="Q40" s="1893" t="str">
        <f t="shared" si="11"/>
        <v>单套建筑面积</v>
      </c>
      <c r="R40" s="752" t="s">
        <v>25</v>
      </c>
      <c r="S40" s="753">
        <f t="shared" si="12"/>
        <v>100</v>
      </c>
      <c r="T40" s="752" t="s">
        <v>25</v>
      </c>
      <c r="U40" s="753">
        <f t="shared" si="13"/>
        <v>100</v>
      </c>
      <c r="V40" s="752" t="s">
        <v>25</v>
      </c>
      <c r="W40" s="753">
        <f t="shared" si="14"/>
        <v>100</v>
      </c>
      <c r="X40" s="1894"/>
      <c r="Y40" s="3073"/>
      <c r="Z40" s="1896" t="str">
        <f t="shared" si="15"/>
        <v>单套建筑面积</v>
      </c>
      <c r="AA40" s="1897">
        <f t="shared" si="3"/>
        <v>1</v>
      </c>
      <c r="AB40" s="1897">
        <f t="shared" si="4"/>
        <v>1</v>
      </c>
      <c r="AC40" s="1897">
        <f t="shared" si="5"/>
        <v>1</v>
      </c>
    </row>
    <row r="41" spans="1:29" s="452" customFormat="1" ht="15">
      <c r="A41" s="449"/>
      <c r="B41" s="1898"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71"/>
      <c r="Q41" s="754" t="str">
        <f t="shared" si="11"/>
        <v>进深比</v>
      </c>
      <c r="R41" s="755" t="s">
        <v>25</v>
      </c>
      <c r="S41" s="756">
        <f t="shared" si="12"/>
        <v>100</v>
      </c>
      <c r="T41" s="755" t="s">
        <v>25</v>
      </c>
      <c r="U41" s="756">
        <f t="shared" si="13"/>
        <v>100</v>
      </c>
      <c r="V41" s="755" t="s">
        <v>25</v>
      </c>
      <c r="W41" s="756">
        <f t="shared" si="14"/>
        <v>100</v>
      </c>
      <c r="X41" s="757"/>
      <c r="Y41" s="3073"/>
      <c r="Z41" s="758" t="str">
        <f t="shared" si="15"/>
        <v>进深比</v>
      </c>
      <c r="AA41" s="1897">
        <f t="shared" si="3"/>
        <v>1</v>
      </c>
      <c r="AB41" s="1897">
        <f t="shared" si="4"/>
        <v>1</v>
      </c>
      <c r="AC41" s="1897">
        <f t="shared" si="5"/>
        <v>1</v>
      </c>
    </row>
    <row r="42" spans="1:29" ht="15">
      <c r="A42" s="453"/>
      <c r="B42" s="402" t="s">
        <v>2454</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8"/>
      <c r="M42" s="1239"/>
      <c r="N42" s="1239"/>
      <c r="O42" s="1239"/>
      <c r="P42" s="3071"/>
      <c r="Q42" s="1893" t="str">
        <f t="shared" si="11"/>
        <v>内部装修</v>
      </c>
      <c r="R42" s="752" t="s">
        <v>25</v>
      </c>
      <c r="S42" s="753">
        <f t="shared" si="12"/>
        <v>100</v>
      </c>
      <c r="T42" s="752" t="s">
        <v>25</v>
      </c>
      <c r="U42" s="753">
        <f t="shared" si="13"/>
        <v>100</v>
      </c>
      <c r="V42" s="752" t="s">
        <v>25</v>
      </c>
      <c r="W42" s="753">
        <f t="shared" si="14"/>
        <v>100</v>
      </c>
      <c r="X42" s="1894"/>
      <c r="Y42" s="3073"/>
      <c r="Z42" s="1896" t="str">
        <f t="shared" si="15"/>
        <v>内部装修</v>
      </c>
      <c r="AA42" s="1897">
        <f t="shared" si="3"/>
        <v>1</v>
      </c>
      <c r="AB42" s="1897">
        <f t="shared" si="4"/>
        <v>1</v>
      </c>
      <c r="AC42" s="1897">
        <f t="shared" si="5"/>
        <v>1</v>
      </c>
    </row>
    <row r="43" spans="1:29" ht="15">
      <c r="A43" s="453"/>
      <c r="B43" s="402" t="s">
        <v>2371</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8"/>
      <c r="M43" s="1239"/>
      <c r="N43" s="1239"/>
      <c r="O43" s="1239"/>
      <c r="P43" s="3071"/>
      <c r="Q43" s="1893" t="str">
        <f t="shared" si="11"/>
        <v>内部装修维护情况</v>
      </c>
      <c r="R43" s="752" t="s">
        <v>25</v>
      </c>
      <c r="S43" s="753">
        <f t="shared" si="12"/>
        <v>100</v>
      </c>
      <c r="T43" s="752" t="s">
        <v>25</v>
      </c>
      <c r="U43" s="753">
        <f t="shared" si="13"/>
        <v>100</v>
      </c>
      <c r="V43" s="752" t="s">
        <v>25</v>
      </c>
      <c r="W43" s="753">
        <f t="shared" si="14"/>
        <v>100</v>
      </c>
      <c r="X43" s="1894"/>
      <c r="Y43" s="3073"/>
      <c r="Z43" s="1896" t="str">
        <f t="shared" si="15"/>
        <v>内部装修维护情况</v>
      </c>
      <c r="AA43" s="1897">
        <f t="shared" si="3"/>
        <v>1</v>
      </c>
      <c r="AB43" s="1897">
        <f t="shared" si="4"/>
        <v>1</v>
      </c>
      <c r="AC43" s="1897">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71"/>
      <c r="Q44" s="1881">
        <f t="shared" si="11"/>
        <v>111</v>
      </c>
      <c r="R44" s="748" t="s">
        <v>25</v>
      </c>
      <c r="S44" s="749">
        <f t="shared" si="12"/>
        <v>100</v>
      </c>
      <c r="T44" s="748" t="s">
        <v>25</v>
      </c>
      <c r="U44" s="749">
        <f t="shared" si="13"/>
        <v>100</v>
      </c>
      <c r="V44" s="748" t="s">
        <v>25</v>
      </c>
      <c r="W44" s="749">
        <f t="shared" si="14"/>
        <v>100</v>
      </c>
      <c r="X44" s="750"/>
      <c r="Y44" s="3073"/>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71"/>
      <c r="Q45" s="1893">
        <f t="shared" si="11"/>
        <v>111</v>
      </c>
      <c r="R45" s="752" t="s">
        <v>25</v>
      </c>
      <c r="S45" s="753">
        <f t="shared" si="12"/>
        <v>100</v>
      </c>
      <c r="T45" s="752" t="s">
        <v>25</v>
      </c>
      <c r="U45" s="753">
        <f t="shared" si="13"/>
        <v>100</v>
      </c>
      <c r="V45" s="752" t="s">
        <v>25</v>
      </c>
      <c r="W45" s="753">
        <f t="shared" si="14"/>
        <v>100</v>
      </c>
      <c r="X45" s="1894"/>
      <c r="Y45" s="3073"/>
      <c r="Z45" s="1896">
        <f t="shared" si="15"/>
        <v>111</v>
      </c>
      <c r="AA45" s="1897">
        <f t="shared" si="3"/>
        <v>1</v>
      </c>
      <c r="AB45" s="1897">
        <f t="shared" si="4"/>
        <v>1</v>
      </c>
      <c r="AC45" s="1897">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72"/>
      <c r="Q46" s="1893">
        <f t="shared" si="11"/>
        <v>111</v>
      </c>
      <c r="R46" s="752" t="s">
        <v>25</v>
      </c>
      <c r="S46" s="753">
        <f t="shared" si="12"/>
        <v>100</v>
      </c>
      <c r="T46" s="752" t="s">
        <v>25</v>
      </c>
      <c r="U46" s="753">
        <f t="shared" si="13"/>
        <v>100</v>
      </c>
      <c r="V46" s="752" t="s">
        <v>25</v>
      </c>
      <c r="W46" s="753">
        <f t="shared" si="14"/>
        <v>100</v>
      </c>
      <c r="X46" s="1894"/>
      <c r="Y46" s="3074"/>
      <c r="Z46" s="1896">
        <f t="shared" si="15"/>
        <v>111</v>
      </c>
      <c r="AA46" s="1897">
        <f t="shared" si="3"/>
        <v>1</v>
      </c>
      <c r="AB46" s="1897">
        <f t="shared" si="4"/>
        <v>1</v>
      </c>
      <c r="AC46" s="1897">
        <f t="shared" si="5"/>
        <v>1</v>
      </c>
    </row>
    <row r="47" spans="1:29" ht="15">
      <c r="A47" s="460" t="s">
        <v>2372</v>
      </c>
      <c r="B47" s="461"/>
      <c r="C47" s="1497" t="s">
        <v>1</v>
      </c>
      <c r="D47" s="1498"/>
      <c r="E47" s="1499"/>
      <c r="F47" s="1500"/>
      <c r="G47" s="1501"/>
      <c r="H47" s="1502"/>
      <c r="I47" s="1499"/>
      <c r="J47" s="1502"/>
      <c r="K47" s="761"/>
      <c r="L47" s="1251"/>
      <c r="M47" s="1252"/>
      <c r="N47" s="1239"/>
      <c r="O47" s="1252"/>
      <c r="P47" s="3079" t="str">
        <f>A47</f>
        <v>成交单价（元/平方米）</v>
      </c>
      <c r="Q47" s="3079"/>
      <c r="R47" s="3080">
        <f>E47</f>
        <v>0</v>
      </c>
      <c r="S47" s="3080"/>
      <c r="T47" s="3080">
        <f>G47</f>
        <v>0</v>
      </c>
      <c r="U47" s="3080"/>
      <c r="V47" s="3080">
        <f>I47</f>
        <v>0</v>
      </c>
      <c r="W47" s="3080"/>
      <c r="X47" s="737"/>
      <c r="Y47" s="759"/>
      <c r="Z47" s="737"/>
      <c r="AA47" s="737"/>
      <c r="AB47" s="737"/>
      <c r="AC47" s="737"/>
    </row>
    <row r="48" spans="1:29" ht="15.75" thickBot="1">
      <c r="A48" s="467" t="s">
        <v>2455</v>
      </c>
      <c r="B48" s="468"/>
      <c r="C48" s="1503" t="e">
        <f>R49</f>
        <v>#DIV/0!</v>
      </c>
      <c r="D48" s="1504"/>
      <c r="E48" s="1505" t="e">
        <f>R48</f>
        <v>#DIV/0!</v>
      </c>
      <c r="F48" s="1505"/>
      <c r="G48" s="1503" t="e">
        <f>T48</f>
        <v>#DIV/0!</v>
      </c>
      <c r="H48" s="1504"/>
      <c r="I48" s="1505" t="e">
        <f>V48</f>
        <v>#DIV/0!</v>
      </c>
      <c r="J48" s="1504"/>
      <c r="K48" s="762"/>
      <c r="L48" s="1251"/>
      <c r="M48" s="1252"/>
      <c r="N48" s="1239"/>
      <c r="O48" s="1252"/>
      <c r="P48" s="3079" t="str">
        <f>A48</f>
        <v>比较价值（元/平方米）</v>
      </c>
      <c r="Q48" s="3079"/>
      <c r="R48" s="3080" t="e">
        <f>IF(E1="售价",ROUND(PRODUCT(R47,AA7:AA46),0),ROUND(PRODUCT(R47,AA7:AA46),1))</f>
        <v>#DIV/0!</v>
      </c>
      <c r="S48" s="3080"/>
      <c r="T48" s="3080" t="e">
        <f>IF(E1="售价",ROUND(PRODUCT(T47,AB7:AB46),0),ROUND(PRODUCT(T47,AB7:AB46),1))</f>
        <v>#DIV/0!</v>
      </c>
      <c r="U48" s="3080"/>
      <c r="V48" s="3080" t="e">
        <f>IF(E1="售价",ROUND(PRODUCT(V47,AC7:AC46),0),ROUND(PRODUCT(V47,AC7:AC46),1))</f>
        <v>#DIV/0!</v>
      </c>
      <c r="W48" s="3080"/>
      <c r="X48" s="737"/>
      <c r="Y48" s="737"/>
      <c r="Z48" s="737"/>
      <c r="AA48" s="737"/>
      <c r="AB48" s="737"/>
      <c r="AC48" s="737"/>
    </row>
    <row r="49" spans="1:29" ht="15.75" thickBot="1">
      <c r="A49" s="473" t="s">
        <v>2456</v>
      </c>
      <c r="B49" s="474"/>
      <c r="C49" s="1507" t="e">
        <f>R49</f>
        <v>#DIV/0!</v>
      </c>
      <c r="D49" s="1507"/>
      <c r="E49" s="1507"/>
      <c r="F49" s="1507"/>
      <c r="G49" s="1507"/>
      <c r="H49" s="1507"/>
      <c r="I49" s="1507"/>
      <c r="J49" s="1507"/>
      <c r="K49" s="763"/>
      <c r="L49" s="1251"/>
      <c r="M49" s="1252"/>
      <c r="N49" s="1239"/>
      <c r="O49" s="1252"/>
      <c r="P49" s="3085" t="str">
        <f>A49</f>
        <v>估价对象XX用房的比较价值（楼面单价，元/平方米）</v>
      </c>
      <c r="Q49" s="3086"/>
      <c r="R49" s="3087" t="e">
        <f>IF(E1="售价",ROUND(AVERAGE(R48:V48),0),ROUND(AVERAGE(R48:V48),1))</f>
        <v>#DIV/0!</v>
      </c>
      <c r="S49" s="3087"/>
      <c r="T49" s="3087"/>
      <c r="U49" s="3087"/>
      <c r="V49" s="3087"/>
      <c r="W49" s="3087"/>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0"/>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0"/>
      <c r="Q51" s="1252"/>
      <c r="R51" s="1252"/>
      <c r="S51" s="1252"/>
      <c r="T51" s="1252"/>
      <c r="U51" s="1252"/>
      <c r="V51" s="1252"/>
      <c r="W51" s="1252"/>
      <c r="X51" s="1252"/>
      <c r="Y51" s="1252"/>
      <c r="Z51" s="1252"/>
      <c r="AA51" s="1252"/>
      <c r="AB51" s="1252"/>
      <c r="AC51" s="1252"/>
    </row>
    <row r="52" spans="1:29" ht="13.5" customHeight="1">
      <c r="A52" s="1252"/>
      <c r="B52" s="1252"/>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0"/>
      <c r="Q52" s="1252"/>
      <c r="R52" s="1252"/>
      <c r="S52" s="1252"/>
      <c r="T52" s="1252"/>
      <c r="U52" s="1252"/>
      <c r="V52" s="1252"/>
      <c r="W52" s="1252"/>
      <c r="X52" s="1252"/>
      <c r="Y52" s="1252"/>
      <c r="Z52" s="1252"/>
      <c r="AA52" s="1252"/>
      <c r="AB52" s="1252"/>
      <c r="AC52" s="1252"/>
    </row>
    <row r="53" spans="1:29" ht="13.5" customHeight="1">
      <c r="A53" s="1252"/>
      <c r="B53" s="1252"/>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0"/>
      <c r="Q53" s="1252"/>
      <c r="R53" s="1252"/>
      <c r="S53" s="1252"/>
      <c r="T53" s="1252"/>
      <c r="U53" s="1252"/>
      <c r="V53" s="1252"/>
      <c r="W53" s="1252"/>
      <c r="X53" s="1252"/>
      <c r="Y53" s="1252"/>
      <c r="Z53" s="1252"/>
      <c r="AA53" s="1252"/>
      <c r="AB53" s="1252"/>
      <c r="AC53" s="1252"/>
    </row>
    <row r="54" spans="1:29" s="483" customFormat="1" ht="13.5" customHeight="1">
      <c r="A54" s="1254"/>
      <c r="B54" s="1254"/>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1"/>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1"/>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0"/>
      <c r="Q56" s="1252"/>
      <c r="R56" s="1252"/>
      <c r="S56" s="1252"/>
      <c r="T56" s="1252"/>
      <c r="U56" s="1252"/>
      <c r="V56" s="1252"/>
      <c r="W56" s="1252"/>
      <c r="X56" s="1252"/>
      <c r="Y56" s="1252"/>
      <c r="Z56" s="1252"/>
      <c r="AA56" s="1252"/>
      <c r="AB56" s="1252"/>
      <c r="AC56" s="1252"/>
    </row>
    <row r="57" spans="1:29" ht="21.75" thickBot="1">
      <c r="A57" s="741" t="s">
        <v>2460</v>
      </c>
      <c r="B57" s="737"/>
      <c r="C57" s="742"/>
      <c r="D57" s="742"/>
      <c r="E57" s="742"/>
      <c r="F57" s="743"/>
      <c r="G57" s="743"/>
      <c r="H57" s="742"/>
      <c r="I57" s="742"/>
      <c r="J57" s="742"/>
      <c r="K57" s="744"/>
      <c r="L57" s="1267"/>
      <c r="M57" s="1268"/>
      <c r="N57" s="1268"/>
      <c r="O57" s="1268"/>
      <c r="P57" s="2452"/>
      <c r="Q57" s="2453"/>
      <c r="R57" s="1252"/>
      <c r="S57" s="1252"/>
      <c r="T57" s="1252"/>
      <c r="U57" s="1252"/>
      <c r="V57" s="1252"/>
      <c r="W57" s="1252"/>
      <c r="X57" s="1252"/>
      <c r="Y57" s="1252"/>
      <c r="Z57" s="1252"/>
      <c r="AA57" s="1252"/>
      <c r="AB57" s="1252"/>
      <c r="AC57" s="1252"/>
    </row>
    <row r="58" spans="1:29" s="489" customFormat="1" ht="15">
      <c r="A58" s="486" t="s">
        <v>2342</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2344</v>
      </c>
      <c r="B61" s="491"/>
      <c r="C61" s="503" t="s">
        <v>2345</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f>C9</f>
        <v>0</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7"/>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7"/>
      <c r="Q67" s="485"/>
    </row>
    <row r="68" spans="1:17" ht="15">
      <c r="A68" s="516"/>
      <c r="B68" s="531"/>
      <c r="C68" s="532"/>
      <c r="D68" s="532"/>
      <c r="E68" s="532"/>
      <c r="F68" s="532"/>
      <c r="G68" s="532"/>
      <c r="H68" s="532"/>
      <c r="I68" s="532"/>
      <c r="J68" s="532"/>
      <c r="K68" s="533"/>
      <c r="L68" s="534"/>
      <c r="M68" s="535"/>
      <c r="N68" s="1262"/>
      <c r="O68" s="1262"/>
      <c r="P68" s="241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18"/>
      <c r="E73" s="518"/>
      <c r="F73" s="518"/>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2441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2461</v>
      </c>
      <c r="C86" s="537"/>
      <c r="D86" s="537"/>
      <c r="E86" s="537"/>
      <c r="F86" s="537"/>
      <c r="G86" s="537"/>
      <c r="H86" s="537"/>
      <c r="I86" s="537"/>
      <c r="J86" s="537"/>
      <c r="K86" s="537"/>
      <c r="L86" s="564"/>
      <c r="M86" s="565"/>
      <c r="N86" s="1261"/>
      <c r="O86" s="1261"/>
      <c r="P86" s="241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61"/>
      <c r="O88" s="1261"/>
      <c r="P88" s="2417"/>
      <c r="Q88" s="485"/>
    </row>
    <row r="89" spans="1:17" s="35" customFormat="1" ht="15.75" thickBot="1">
      <c r="A89" s="563"/>
      <c r="B89" s="526"/>
      <c r="C89" s="544"/>
      <c r="D89" s="518"/>
      <c r="E89" s="518"/>
      <c r="F89" s="518"/>
      <c r="G89" s="518"/>
      <c r="H89" s="518"/>
      <c r="I89" s="518"/>
      <c r="J89" s="518"/>
      <c r="K89" s="518"/>
      <c r="L89" s="518"/>
      <c r="M89" s="518"/>
      <c r="N89" s="1263"/>
      <c r="O89" s="1263"/>
      <c r="P89" s="2417"/>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1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8"/>
      <c r="Q91" s="543"/>
    </row>
    <row r="92" spans="1:17" ht="15.75" thickTop="1">
      <c r="A92" s="516"/>
      <c r="B92" s="521" t="str">
        <f>B28</f>
        <v>楼层</v>
      </c>
      <c r="C92" s="537"/>
      <c r="D92" s="537"/>
      <c r="E92" s="537"/>
      <c r="F92" s="537"/>
      <c r="G92" s="537"/>
      <c r="H92" s="537"/>
      <c r="I92" s="537"/>
      <c r="J92" s="537"/>
      <c r="K92" s="537"/>
      <c r="L92" s="564"/>
      <c r="M92" s="565"/>
      <c r="N92" s="1262"/>
      <c r="O92" s="1262"/>
      <c r="P92" s="2417"/>
      <c r="Q92" s="485"/>
    </row>
    <row r="93" spans="1:17" ht="15.75" thickBot="1">
      <c r="A93" s="516"/>
      <c r="B93" s="526"/>
      <c r="C93" s="518"/>
      <c r="D93" s="518"/>
      <c r="E93" s="518"/>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18"/>
      <c r="E95" s="518"/>
      <c r="F95" s="518"/>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44"/>
      <c r="D97" s="518"/>
      <c r="E97" s="518"/>
      <c r="F97" s="518"/>
      <c r="G97" s="518"/>
      <c r="H97" s="518"/>
      <c r="I97" s="518"/>
      <c r="J97" s="518"/>
      <c r="K97" s="518"/>
      <c r="L97" s="518"/>
      <c r="M97" s="519"/>
      <c r="N97" s="1263"/>
      <c r="O97" s="1263"/>
      <c r="P97" s="2417"/>
      <c r="Q97" s="485"/>
    </row>
    <row r="98" spans="1:17" ht="15.75" thickTop="1">
      <c r="A98" s="516"/>
      <c r="B98" s="529">
        <f>B31</f>
        <v>111</v>
      </c>
      <c r="C98" s="537"/>
      <c r="D98" s="537"/>
      <c r="E98" s="537"/>
      <c r="F98" s="537"/>
      <c r="G98" s="571"/>
      <c r="H98" s="571"/>
      <c r="I98" s="571"/>
      <c r="J98" s="571"/>
      <c r="K98" s="572"/>
      <c r="L98" s="573"/>
      <c r="M98" s="574"/>
      <c r="N98" s="1262"/>
      <c r="O98" s="1262"/>
      <c r="P98" s="2417"/>
      <c r="Q98" s="485"/>
    </row>
    <row r="99" spans="1:17" ht="15.75" thickBot="1">
      <c r="A99" s="2423"/>
      <c r="B99" s="553"/>
      <c r="C99" s="554"/>
      <c r="D99" s="554"/>
      <c r="E99" s="554"/>
      <c r="F99" s="554"/>
      <c r="G99" s="575"/>
      <c r="H99" s="575"/>
      <c r="I99" s="575"/>
      <c r="J99" s="575"/>
      <c r="K99" s="575"/>
      <c r="L99" s="575"/>
      <c r="M99" s="576"/>
      <c r="N99" s="1263"/>
      <c r="O99" s="1263"/>
      <c r="P99" s="2417"/>
      <c r="Q99" s="485"/>
    </row>
    <row r="100" spans="1:17">
      <c r="A100" s="508" t="s">
        <v>2358</v>
      </c>
      <c r="B100" s="509" t="s">
        <v>2462</v>
      </c>
      <c r="C100" s="511"/>
      <c r="D100" s="511"/>
      <c r="E100" s="511"/>
      <c r="F100" s="511"/>
      <c r="G100" s="511"/>
      <c r="H100" s="511"/>
      <c r="I100" s="511"/>
      <c r="J100" s="511"/>
      <c r="K100" s="512"/>
      <c r="L100" s="513"/>
      <c r="M100" s="514"/>
      <c r="N100" s="1262"/>
      <c r="O100" s="1262"/>
      <c r="P100" s="241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7"/>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7"/>
      <c r="Q102" s="485"/>
    </row>
    <row r="103" spans="1:17" s="452" customFormat="1">
      <c r="A103" s="577"/>
      <c r="B103" s="578"/>
      <c r="C103" s="579"/>
      <c r="D103" s="579"/>
      <c r="E103" s="579"/>
      <c r="F103" s="579"/>
      <c r="G103" s="579"/>
      <c r="H103" s="579"/>
      <c r="I103" s="579"/>
      <c r="J103" s="580"/>
      <c r="K103" s="580"/>
      <c r="L103" s="581"/>
      <c r="M103" s="582"/>
      <c r="N103" s="1264"/>
      <c r="O103" s="1264"/>
      <c r="P103" s="2418"/>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18"/>
      <c r="Q104" s="543"/>
    </row>
    <row r="105" spans="1:17" ht="15" thickTop="1">
      <c r="A105" s="583"/>
      <c r="B105" s="521" t="s">
        <v>2409</v>
      </c>
      <c r="C105" s="537"/>
      <c r="D105" s="537"/>
      <c r="E105" s="567"/>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7"/>
      <c r="Q106" s="485"/>
    </row>
    <row r="107" spans="1:17" ht="15" thickTop="1">
      <c r="A107" s="583"/>
      <c r="B107" s="521" t="s">
        <v>2411</v>
      </c>
      <c r="C107" s="537"/>
      <c r="D107" s="537"/>
      <c r="E107" s="537"/>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7"/>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7"/>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7"/>
      <c r="Q111" s="485"/>
    </row>
    <row r="112" spans="1:17" s="452" customFormat="1" ht="15" thickTop="1">
      <c r="A112" s="577"/>
      <c r="B112" s="521" t="s">
        <v>2414</v>
      </c>
      <c r="C112" s="537"/>
      <c r="D112" s="537"/>
      <c r="E112" s="537"/>
      <c r="F112" s="537"/>
      <c r="G112" s="537"/>
      <c r="H112" s="567"/>
      <c r="I112" s="567"/>
      <c r="J112" s="567"/>
      <c r="K112" s="568"/>
      <c r="L112" s="569"/>
      <c r="M112" s="570"/>
      <c r="N112" s="1264"/>
      <c r="O112" s="1264"/>
      <c r="P112" s="241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8"/>
      <c r="Q113" s="543"/>
    </row>
    <row r="114" spans="1:17" ht="15" thickTop="1">
      <c r="A114" s="583"/>
      <c r="B114" s="521" t="s">
        <v>2463</v>
      </c>
      <c r="C114" s="537"/>
      <c r="D114" s="537"/>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7"/>
      <c r="Q115" s="485"/>
    </row>
    <row r="116" spans="1:17" ht="15" thickTop="1">
      <c r="A116" s="583"/>
      <c r="B116" s="521" t="s">
        <v>2464</v>
      </c>
      <c r="C116" s="537"/>
      <c r="D116" s="537"/>
      <c r="E116" s="537"/>
      <c r="F116" s="537"/>
      <c r="G116" s="537"/>
      <c r="H116" s="567"/>
      <c r="I116" s="567"/>
      <c r="J116" s="567"/>
      <c r="K116" s="568"/>
      <c r="L116" s="569"/>
      <c r="M116" s="570"/>
      <c r="N116" s="1262"/>
      <c r="O116" s="1262"/>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7"/>
      <c r="Q117" s="485"/>
    </row>
    <row r="118" spans="1:17" ht="15" thickTop="1">
      <c r="A118" s="583"/>
      <c r="B118" s="521" t="s">
        <v>2465</v>
      </c>
      <c r="C118" s="611"/>
      <c r="D118" s="611"/>
      <c r="E118" s="611"/>
      <c r="F118" s="611"/>
      <c r="G118" s="611"/>
      <c r="H118" s="538"/>
      <c r="I118" s="538"/>
      <c r="J118" s="538"/>
      <c r="K118" s="538"/>
      <c r="L118" s="539"/>
      <c r="M118" s="540"/>
      <c r="N118" s="1262"/>
      <c r="O118" s="1262"/>
      <c r="P118" s="2417"/>
      <c r="Q118" s="485"/>
    </row>
    <row r="119" spans="1:17" ht="15.75" thickBot="1">
      <c r="A119" s="516"/>
      <c r="B119" s="526"/>
      <c r="C119" s="544"/>
      <c r="D119" s="518"/>
      <c r="E119" s="518"/>
      <c r="F119" s="518"/>
      <c r="G119" s="518"/>
      <c r="H119" s="518"/>
      <c r="I119" s="518"/>
      <c r="J119" s="518"/>
      <c r="K119" s="518"/>
      <c r="L119" s="518"/>
      <c r="M119" s="519"/>
      <c r="N119" s="1263"/>
      <c r="O119" s="1263"/>
      <c r="P119" s="2417"/>
      <c r="Q119" s="485"/>
    </row>
    <row r="120" spans="1:17" s="452" customFormat="1" ht="15" thickTop="1">
      <c r="A120" s="577"/>
      <c r="B120" s="521" t="s">
        <v>2466</v>
      </c>
      <c r="C120" s="567"/>
      <c r="D120" s="567"/>
      <c r="E120" s="567"/>
      <c r="F120" s="567"/>
      <c r="G120" s="538"/>
      <c r="H120" s="538"/>
      <c r="I120" s="538"/>
      <c r="J120" s="538"/>
      <c r="K120" s="538"/>
      <c r="L120" s="539"/>
      <c r="M120" s="540"/>
      <c r="N120" s="1264"/>
      <c r="O120" s="1264"/>
      <c r="P120" s="241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8"/>
      <c r="Q121" s="543"/>
    </row>
    <row r="122" spans="1:17" ht="15" thickTop="1">
      <c r="A122" s="583"/>
      <c r="B122" s="521" t="s">
        <v>2416</v>
      </c>
      <c r="C122" s="537"/>
      <c r="D122" s="537"/>
      <c r="E122" s="537"/>
      <c r="F122" s="567"/>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18"/>
      <c r="E129" s="518"/>
      <c r="F129" s="518"/>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tabColor rgb="FF92D050"/>
    <pageSetUpPr fitToPage="1"/>
  </sheetPr>
  <dimension ref="A1:AC132"/>
  <sheetViews>
    <sheetView topLeftCell="A24" zoomScale="90" zoomScaleNormal="90" workbookViewId="0">
      <selection activeCell="G43" sqref="G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1231</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1296</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1297</v>
      </c>
      <c r="B3" s="593">
        <f>ROUND(IF(D2="——",C50,IF(C2="万元",B2*10000/D3,B2/D3)),0)</f>
        <v>277</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94" t="s">
        <v>2335</v>
      </c>
      <c r="Q4" s="3052"/>
      <c r="R4" s="3057" t="s">
        <v>2331</v>
      </c>
      <c r="S4" s="3058"/>
      <c r="T4" s="3057" t="s">
        <v>2332</v>
      </c>
      <c r="U4" s="3058"/>
      <c r="V4" s="3063" t="s">
        <v>2333</v>
      </c>
      <c r="W4" s="3063"/>
      <c r="X4" s="2751"/>
      <c r="Y4" s="3057" t="s">
        <v>2335</v>
      </c>
      <c r="Z4" s="3058"/>
      <c r="AA4" s="3044" t="s">
        <v>2331</v>
      </c>
      <c r="AB4" s="3044" t="s">
        <v>2332</v>
      </c>
      <c r="AC4" s="3044" t="s">
        <v>2333</v>
      </c>
    </row>
    <row r="5" spans="1:29" ht="15">
      <c r="A5" s="383"/>
      <c r="B5" s="384"/>
      <c r="C5" s="3064" t="s">
        <v>2845</v>
      </c>
      <c r="D5" s="3065"/>
      <c r="E5" s="3064" t="s">
        <v>2845</v>
      </c>
      <c r="F5" s="3065"/>
      <c r="G5" s="3064" t="s">
        <v>2845</v>
      </c>
      <c r="H5" s="3065"/>
      <c r="I5" s="3064" t="s">
        <v>2845</v>
      </c>
      <c r="J5" s="3065"/>
      <c r="K5" s="594"/>
      <c r="L5" s="1238"/>
      <c r="M5" s="1239"/>
      <c r="N5" s="1239"/>
      <c r="O5" s="1239"/>
      <c r="P5" s="3095"/>
      <c r="Q5" s="3054"/>
      <c r="R5" s="3059"/>
      <c r="S5" s="3060"/>
      <c r="T5" s="3059"/>
      <c r="U5" s="3060"/>
      <c r="V5" s="3063"/>
      <c r="W5" s="3063"/>
      <c r="X5" s="2751"/>
      <c r="Y5" s="3059"/>
      <c r="Z5" s="3060"/>
      <c r="AA5" s="3045"/>
      <c r="AB5" s="3045"/>
      <c r="AC5" s="3045"/>
    </row>
    <row r="6" spans="1:29" ht="15.75" thickBot="1">
      <c r="A6" s="385"/>
      <c r="B6" s="386"/>
      <c r="C6" s="3066" t="s">
        <v>2846</v>
      </c>
      <c r="D6" s="3067"/>
      <c r="E6" s="3066" t="s">
        <v>2846</v>
      </c>
      <c r="F6" s="3067"/>
      <c r="G6" s="3066" t="s">
        <v>2846</v>
      </c>
      <c r="H6" s="3067"/>
      <c r="I6" s="3066" t="s">
        <v>2846</v>
      </c>
      <c r="J6" s="3067"/>
      <c r="K6" s="594" t="s">
        <v>2341</v>
      </c>
      <c r="L6" s="1238"/>
      <c r="M6" s="1239"/>
      <c r="N6" s="1239"/>
      <c r="O6" s="1239"/>
      <c r="P6" s="3096"/>
      <c r="Q6" s="3056"/>
      <c r="R6" s="3059"/>
      <c r="S6" s="3060"/>
      <c r="T6" s="3061"/>
      <c r="U6" s="3062"/>
      <c r="V6" s="3063"/>
      <c r="W6" s="3063"/>
      <c r="X6" s="2751"/>
      <c r="Y6" s="3061"/>
      <c r="Z6" s="3062"/>
      <c r="AA6" s="3046"/>
      <c r="AB6" s="3046"/>
      <c r="AC6" s="3046"/>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77" t="s">
        <v>2343</v>
      </c>
      <c r="Q7" s="3077"/>
      <c r="R7" s="748" t="s">
        <v>25</v>
      </c>
      <c r="S7" s="749">
        <f t="shared" ref="S7:S15" si="0">F7</f>
        <v>100</v>
      </c>
      <c r="T7" s="748" t="s">
        <v>25</v>
      </c>
      <c r="U7" s="749">
        <f t="shared" ref="U7:U15" si="1">H7</f>
        <v>100</v>
      </c>
      <c r="V7" s="748" t="s">
        <v>25</v>
      </c>
      <c r="W7" s="749">
        <f t="shared" ref="W7:W15" si="2">J7</f>
        <v>100</v>
      </c>
      <c r="X7" s="750"/>
      <c r="Y7" s="3075" t="s">
        <v>2343</v>
      </c>
      <c r="Z7" s="3076"/>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7" t="s">
        <v>2346</v>
      </c>
      <c r="Q8" s="3076"/>
      <c r="R8" s="748" t="s">
        <v>25</v>
      </c>
      <c r="S8" s="749">
        <f t="shared" si="0"/>
        <v>100</v>
      </c>
      <c r="T8" s="748" t="s">
        <v>25</v>
      </c>
      <c r="U8" s="749">
        <f t="shared" si="1"/>
        <v>100</v>
      </c>
      <c r="V8" s="748" t="s">
        <v>25</v>
      </c>
      <c r="W8" s="749">
        <f t="shared" si="2"/>
        <v>100</v>
      </c>
      <c r="X8" s="750"/>
      <c r="Y8" s="3075" t="s">
        <v>2346</v>
      </c>
      <c r="Z8" s="3076"/>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86" t="s">
        <v>2349</v>
      </c>
      <c r="Q9" s="2746"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75" thickBot="1">
      <c r="A10" s="401"/>
      <c r="B10" s="2747"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86"/>
      <c r="Q10" s="2746"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hidden="1">
      <c r="A11" s="408"/>
      <c r="B11" s="2747"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86"/>
      <c r="Q11" s="2746" t="str">
        <f t="shared" si="6"/>
        <v>容积率</v>
      </c>
      <c r="R11" s="748" t="s">
        <v>25</v>
      </c>
      <c r="S11" s="749">
        <f t="shared" si="0"/>
        <v>100</v>
      </c>
      <c r="T11" s="748" t="s">
        <v>25</v>
      </c>
      <c r="U11" s="749">
        <f t="shared" si="1"/>
        <v>100</v>
      </c>
      <c r="V11" s="748" t="s">
        <v>25</v>
      </c>
      <c r="W11" s="749">
        <f t="shared" si="2"/>
        <v>100</v>
      </c>
      <c r="X11" s="750"/>
      <c r="Y11" s="2875"/>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86"/>
      <c r="Q12" s="2746">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hidden="1">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86"/>
      <c r="Q13" s="2746">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hidden="1"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86"/>
      <c r="Q14" s="2746">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52" t="s">
        <v>2354</v>
      </c>
      <c r="Q15" s="2750" t="str">
        <f t="shared" si="6"/>
        <v>办公集聚程度</v>
      </c>
      <c r="R15" s="752" t="s">
        <v>25</v>
      </c>
      <c r="S15" s="753">
        <f t="shared" si="0"/>
        <v>100</v>
      </c>
      <c r="T15" s="752" t="s">
        <v>25</v>
      </c>
      <c r="U15" s="753">
        <f t="shared" si="1"/>
        <v>100</v>
      </c>
      <c r="V15" s="752" t="s">
        <v>25</v>
      </c>
      <c r="W15" s="753">
        <f t="shared" si="2"/>
        <v>100</v>
      </c>
      <c r="X15" s="2751"/>
      <c r="Y15" s="3068" t="s">
        <v>2354</v>
      </c>
      <c r="Z15" s="2752" t="str">
        <f t="shared" si="7"/>
        <v>办公集聚程度</v>
      </c>
      <c r="AA15" s="2748">
        <f t="shared" si="3"/>
        <v>1</v>
      </c>
      <c r="AB15" s="2748">
        <f t="shared" si="4"/>
        <v>1</v>
      </c>
      <c r="AC15" s="2748">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54"/>
      <c r="Q16" s="2750"/>
      <c r="R16" s="752"/>
      <c r="S16" s="753"/>
      <c r="T16" s="752"/>
      <c r="U16" s="753"/>
      <c r="V16" s="752"/>
      <c r="W16" s="753"/>
      <c r="X16" s="2751"/>
      <c r="Y16" s="3069"/>
      <c r="Z16" s="2752"/>
      <c r="AA16" s="2748">
        <v>1</v>
      </c>
      <c r="AB16" s="2748">
        <v>1</v>
      </c>
      <c r="AC16" s="2748">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54"/>
      <c r="Q17" s="2750" t="str">
        <f>B17</f>
        <v>交通便捷度</v>
      </c>
      <c r="R17" s="752" t="s">
        <v>25</v>
      </c>
      <c r="S17" s="753">
        <f>F17</f>
        <v>100</v>
      </c>
      <c r="T17" s="752" t="s">
        <v>25</v>
      </c>
      <c r="U17" s="753">
        <f>H17</f>
        <v>100</v>
      </c>
      <c r="V17" s="752" t="s">
        <v>25</v>
      </c>
      <c r="W17" s="753">
        <f>J17</f>
        <v>100</v>
      </c>
      <c r="X17" s="2751"/>
      <c r="Y17" s="3069"/>
      <c r="Z17" s="2752" t="str">
        <f>Q17</f>
        <v>交通便捷度</v>
      </c>
      <c r="AA17" s="2748">
        <f t="shared" si="3"/>
        <v>1</v>
      </c>
      <c r="AB17" s="2748">
        <f t="shared" si="4"/>
        <v>1</v>
      </c>
      <c r="AC17" s="2748">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54"/>
      <c r="Q18" s="2750"/>
      <c r="R18" s="752"/>
      <c r="S18" s="753"/>
      <c r="T18" s="752"/>
      <c r="U18" s="753"/>
      <c r="V18" s="752"/>
      <c r="W18" s="753"/>
      <c r="X18" s="2751"/>
      <c r="Y18" s="3069"/>
      <c r="Z18" s="2752"/>
      <c r="AA18" s="2748">
        <v>1</v>
      </c>
      <c r="AB18" s="2748">
        <v>1</v>
      </c>
      <c r="AC18" s="2748">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54"/>
      <c r="Q19" s="2750" t="str">
        <f>B19</f>
        <v>公共配套设施</v>
      </c>
      <c r="R19" s="752" t="s">
        <v>25</v>
      </c>
      <c r="S19" s="753">
        <f>F19</f>
        <v>100</v>
      </c>
      <c r="T19" s="752" t="s">
        <v>25</v>
      </c>
      <c r="U19" s="753">
        <f>H19</f>
        <v>100</v>
      </c>
      <c r="V19" s="752" t="s">
        <v>25</v>
      </c>
      <c r="W19" s="753">
        <f>J19</f>
        <v>100</v>
      </c>
      <c r="X19" s="2751"/>
      <c r="Y19" s="3069"/>
      <c r="Z19" s="2752" t="str">
        <f>Q19</f>
        <v>公共配套设施</v>
      </c>
      <c r="AA19" s="2748">
        <f t="shared" si="3"/>
        <v>1</v>
      </c>
      <c r="AB19" s="2748">
        <f t="shared" si="4"/>
        <v>1</v>
      </c>
      <c r="AC19" s="2748">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54"/>
      <c r="Q20" s="2750"/>
      <c r="R20" s="752"/>
      <c r="S20" s="753"/>
      <c r="T20" s="752"/>
      <c r="U20" s="753"/>
      <c r="V20" s="752"/>
      <c r="W20" s="753"/>
      <c r="X20" s="2751"/>
      <c r="Y20" s="3069"/>
      <c r="Z20" s="2752"/>
      <c r="AA20" s="2748">
        <v>1</v>
      </c>
      <c r="AB20" s="2748">
        <v>1</v>
      </c>
      <c r="AC20" s="2748">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54"/>
      <c r="Q21" s="2750" t="str">
        <f>B21</f>
        <v>基础设施水平</v>
      </c>
      <c r="R21" s="752" t="s">
        <v>25</v>
      </c>
      <c r="S21" s="753">
        <f>F21</f>
        <v>100</v>
      </c>
      <c r="T21" s="752" t="s">
        <v>25</v>
      </c>
      <c r="U21" s="753">
        <f>H21</f>
        <v>100</v>
      </c>
      <c r="V21" s="752" t="s">
        <v>25</v>
      </c>
      <c r="W21" s="753">
        <f>J21</f>
        <v>100</v>
      </c>
      <c r="X21" s="2751"/>
      <c r="Y21" s="3069"/>
      <c r="Z21" s="2752" t="str">
        <f>Q21</f>
        <v>基础设施水平</v>
      </c>
      <c r="AA21" s="2748">
        <f t="shared" ref="AA21" si="8">D21/F21</f>
        <v>1</v>
      </c>
      <c r="AB21" s="2748">
        <f t="shared" ref="AB21" si="9">D21/H21</f>
        <v>1</v>
      </c>
      <c r="AC21" s="2748">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54"/>
      <c r="Q22" s="2750"/>
      <c r="R22" s="752"/>
      <c r="S22" s="753"/>
      <c r="T22" s="752"/>
      <c r="U22" s="753"/>
      <c r="V22" s="752"/>
      <c r="W22" s="753"/>
      <c r="X22" s="2751"/>
      <c r="Y22" s="3069"/>
      <c r="Z22" s="2752"/>
      <c r="AA22" s="2748">
        <v>1</v>
      </c>
      <c r="AB22" s="2748">
        <v>1</v>
      </c>
      <c r="AC22" s="2748">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54"/>
      <c r="Q23" s="2750" t="str">
        <f>B23</f>
        <v>环境质量</v>
      </c>
      <c r="R23" s="752" t="s">
        <v>25</v>
      </c>
      <c r="S23" s="753">
        <f>F23</f>
        <v>100</v>
      </c>
      <c r="T23" s="752" t="s">
        <v>25</v>
      </c>
      <c r="U23" s="753">
        <f>H23</f>
        <v>100</v>
      </c>
      <c r="V23" s="752" t="s">
        <v>25</v>
      </c>
      <c r="W23" s="753">
        <f>J23</f>
        <v>100</v>
      </c>
      <c r="X23" s="2751"/>
      <c r="Y23" s="3069"/>
      <c r="Z23" s="2752" t="str">
        <f>Q23</f>
        <v>环境质量</v>
      </c>
      <c r="AA23" s="2748">
        <f t="shared" si="3"/>
        <v>1</v>
      </c>
      <c r="AB23" s="2748">
        <f t="shared" si="4"/>
        <v>1</v>
      </c>
      <c r="AC23" s="2748">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54"/>
      <c r="Q24" s="2750"/>
      <c r="R24" s="752"/>
      <c r="S24" s="753"/>
      <c r="T24" s="752"/>
      <c r="U24" s="753"/>
      <c r="V24" s="752"/>
      <c r="W24" s="753"/>
      <c r="X24" s="2751"/>
      <c r="Y24" s="3069"/>
      <c r="Z24" s="2752"/>
      <c r="AA24" s="2748">
        <v>1</v>
      </c>
      <c r="AB24" s="2748">
        <v>1</v>
      </c>
      <c r="AC24" s="2748">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54"/>
      <c r="Q25" s="2750" t="str">
        <f>B25</f>
        <v>毗邻道路的类型与等级</v>
      </c>
      <c r="R25" s="752" t="s">
        <v>25</v>
      </c>
      <c r="S25" s="753">
        <f>F25</f>
        <v>100</v>
      </c>
      <c r="T25" s="752" t="s">
        <v>25</v>
      </c>
      <c r="U25" s="753">
        <f>H25</f>
        <v>100</v>
      </c>
      <c r="V25" s="752" t="s">
        <v>25</v>
      </c>
      <c r="W25" s="753">
        <f>J25</f>
        <v>100</v>
      </c>
      <c r="X25" s="2751"/>
      <c r="Y25" s="3069"/>
      <c r="Z25" s="2752" t="str">
        <f>Q25</f>
        <v>毗邻道路的类型与等级</v>
      </c>
      <c r="AA25" s="2748">
        <f t="shared" si="3"/>
        <v>1</v>
      </c>
      <c r="AB25" s="2748">
        <f t="shared" si="4"/>
        <v>1</v>
      </c>
      <c r="AC25" s="2748">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54"/>
      <c r="Q26" s="2750"/>
      <c r="R26" s="752"/>
      <c r="S26" s="753"/>
      <c r="T26" s="752"/>
      <c r="U26" s="753"/>
      <c r="V26" s="752"/>
      <c r="W26" s="753"/>
      <c r="X26" s="2751"/>
      <c r="Y26" s="3069"/>
      <c r="Z26" s="2752"/>
      <c r="AA26" s="2748">
        <v>1</v>
      </c>
      <c r="AB26" s="2748">
        <v>1</v>
      </c>
      <c r="AC26" s="2748">
        <v>1</v>
      </c>
    </row>
    <row r="27" spans="1:29" ht="15.75" thickBot="1">
      <c r="A27" s="408"/>
      <c r="B27" s="616" t="s">
        <v>2445</v>
      </c>
      <c r="C27" s="618" t="s">
        <v>2852</v>
      </c>
      <c r="D27" s="415">
        <v>100</v>
      </c>
      <c r="E27" s="600" t="s">
        <v>2891</v>
      </c>
      <c r="F27" s="415">
        <f>SUMIF(89:89,E27,90:90)-SUMIF(89:89,C27,90:90)+100</f>
        <v>101</v>
      </c>
      <c r="G27" s="618" t="s">
        <v>2890</v>
      </c>
      <c r="H27" s="415">
        <f>SUMIF(89:89,G27,90:90)-SUMIF(89:89,C27,90:90)+100</f>
        <v>102</v>
      </c>
      <c r="I27" s="600" t="s">
        <v>2852</v>
      </c>
      <c r="J27" s="415">
        <f>SUMIF(89:89,I27,90:90)-SUMIF(89:89,C27,90:90)+100</f>
        <v>100</v>
      </c>
      <c r="K27" s="596">
        <v>1</v>
      </c>
      <c r="L27" s="1248"/>
      <c r="M27" s="1239"/>
      <c r="N27" s="1239"/>
      <c r="O27" s="1239"/>
      <c r="P27" s="3054"/>
      <c r="Q27" s="2750" t="str">
        <f t="shared" ref="Q27:Q47" si="11">B27</f>
        <v>楼层</v>
      </c>
      <c r="R27" s="752" t="s">
        <v>25</v>
      </c>
      <c r="S27" s="753">
        <f>F27</f>
        <v>101</v>
      </c>
      <c r="T27" s="752" t="s">
        <v>25</v>
      </c>
      <c r="U27" s="753">
        <f>H27</f>
        <v>102</v>
      </c>
      <c r="V27" s="752" t="s">
        <v>25</v>
      </c>
      <c r="W27" s="753">
        <f>J27</f>
        <v>100</v>
      </c>
      <c r="X27" s="2751"/>
      <c r="Y27" s="3069"/>
      <c r="Z27" s="2752" t="str">
        <f>Q27</f>
        <v>楼层</v>
      </c>
      <c r="AA27" s="2748">
        <f t="shared" si="3"/>
        <v>0.99009900990099009</v>
      </c>
      <c r="AB27" s="2748">
        <f t="shared" si="4"/>
        <v>0.98039215686274506</v>
      </c>
      <c r="AC27" s="2748">
        <f t="shared" si="5"/>
        <v>1</v>
      </c>
    </row>
    <row r="28" spans="1:29" s="35" customFormat="1" ht="15.75" hidden="1" thickBot="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54"/>
      <c r="Q28" s="2746" t="str">
        <f t="shared" si="11"/>
        <v>朝向</v>
      </c>
      <c r="R28" s="748" t="s">
        <v>25</v>
      </c>
      <c r="S28" s="749">
        <f>F28</f>
        <v>100</v>
      </c>
      <c r="T28" s="748" t="s">
        <v>25</v>
      </c>
      <c r="U28" s="749">
        <f>H28</f>
        <v>100</v>
      </c>
      <c r="V28" s="748" t="s">
        <v>25</v>
      </c>
      <c r="W28" s="749">
        <f>J28</f>
        <v>100</v>
      </c>
      <c r="X28" s="750"/>
      <c r="Y28" s="3069"/>
      <c r="Z28" s="23" t="str">
        <f>Q28</f>
        <v>朝向</v>
      </c>
      <c r="AA28" s="2748">
        <f>D28/F28</f>
        <v>1</v>
      </c>
      <c r="AB28" s="2748">
        <f>D28/H28</f>
        <v>1</v>
      </c>
      <c r="AC28" s="2748">
        <f>D28/J28</f>
        <v>1</v>
      </c>
    </row>
    <row r="29" spans="1:29" ht="15.75" hidden="1" thickBot="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54"/>
      <c r="Q29" s="2750">
        <f t="shared" si="11"/>
        <v>111</v>
      </c>
      <c r="R29" s="752" t="s">
        <v>25</v>
      </c>
      <c r="S29" s="753">
        <f t="shared" ref="S29:S47" si="12">F29</f>
        <v>100</v>
      </c>
      <c r="T29" s="752" t="s">
        <v>25</v>
      </c>
      <c r="U29" s="753">
        <f t="shared" ref="U29:U47" si="13">H29</f>
        <v>100</v>
      </c>
      <c r="V29" s="752" t="s">
        <v>25</v>
      </c>
      <c r="W29" s="753">
        <f t="shared" ref="W29:W47" si="14">J29</f>
        <v>100</v>
      </c>
      <c r="X29" s="2751"/>
      <c r="Y29" s="3069"/>
      <c r="Z29" s="2752">
        <f t="shared" ref="Z29:Z47" si="15">Q29</f>
        <v>111</v>
      </c>
      <c r="AA29" s="2748">
        <f t="shared" si="3"/>
        <v>1</v>
      </c>
      <c r="AB29" s="2748">
        <f t="shared" si="4"/>
        <v>1</v>
      </c>
      <c r="AC29" s="2748">
        <f t="shared" si="5"/>
        <v>1</v>
      </c>
    </row>
    <row r="30" spans="1:29" ht="15.75" hidden="1" thickBot="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54"/>
      <c r="Q30" s="2750">
        <f t="shared" si="11"/>
        <v>111</v>
      </c>
      <c r="R30" s="752" t="s">
        <v>25</v>
      </c>
      <c r="S30" s="753">
        <f t="shared" si="12"/>
        <v>100</v>
      </c>
      <c r="T30" s="752" t="s">
        <v>25</v>
      </c>
      <c r="U30" s="753">
        <f t="shared" si="13"/>
        <v>100</v>
      </c>
      <c r="V30" s="752" t="s">
        <v>25</v>
      </c>
      <c r="W30" s="753">
        <f t="shared" si="14"/>
        <v>100</v>
      </c>
      <c r="X30" s="2751"/>
      <c r="Y30" s="3069"/>
      <c r="Z30" s="2752">
        <f t="shared" si="15"/>
        <v>111</v>
      </c>
      <c r="AA30" s="2748">
        <f t="shared" si="3"/>
        <v>1</v>
      </c>
      <c r="AB30" s="2748">
        <f t="shared" si="4"/>
        <v>1</v>
      </c>
      <c r="AC30" s="2748">
        <f t="shared" si="5"/>
        <v>1</v>
      </c>
    </row>
    <row r="31" spans="1:29" ht="15.75" hidden="1" thickBot="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54"/>
      <c r="Q31" s="2750">
        <f t="shared" si="11"/>
        <v>111</v>
      </c>
      <c r="R31" s="752" t="s">
        <v>25</v>
      </c>
      <c r="S31" s="753">
        <f t="shared" si="12"/>
        <v>100</v>
      </c>
      <c r="T31" s="752" t="s">
        <v>25</v>
      </c>
      <c r="U31" s="753">
        <f t="shared" si="13"/>
        <v>100</v>
      </c>
      <c r="V31" s="752" t="s">
        <v>25</v>
      </c>
      <c r="W31" s="753">
        <f t="shared" si="14"/>
        <v>100</v>
      </c>
      <c r="X31" s="2751"/>
      <c r="Y31" s="3069"/>
      <c r="Z31" s="2752">
        <f t="shared" si="15"/>
        <v>111</v>
      </c>
      <c r="AA31" s="2748">
        <f t="shared" si="3"/>
        <v>1</v>
      </c>
      <c r="AB31" s="2748">
        <f t="shared" si="4"/>
        <v>1</v>
      </c>
      <c r="AC31" s="2748">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54"/>
      <c r="Q32" s="2750">
        <f t="shared" si="11"/>
        <v>111</v>
      </c>
      <c r="R32" s="752" t="s">
        <v>25</v>
      </c>
      <c r="S32" s="753">
        <f t="shared" si="12"/>
        <v>100</v>
      </c>
      <c r="T32" s="752" t="s">
        <v>25</v>
      </c>
      <c r="U32" s="753">
        <f t="shared" si="13"/>
        <v>100</v>
      </c>
      <c r="V32" s="752" t="s">
        <v>25</v>
      </c>
      <c r="W32" s="753">
        <f t="shared" si="14"/>
        <v>100</v>
      </c>
      <c r="X32" s="2751"/>
      <c r="Y32" s="3069"/>
      <c r="Z32" s="2752">
        <f t="shared" si="15"/>
        <v>111</v>
      </c>
      <c r="AA32" s="2748">
        <f t="shared" si="3"/>
        <v>1</v>
      </c>
      <c r="AB32" s="2748">
        <f t="shared" si="4"/>
        <v>1</v>
      </c>
      <c r="AC32" s="2748">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7" t="s">
        <v>2360</v>
      </c>
      <c r="Q33" s="2750" t="str">
        <f t="shared" si="11"/>
        <v>建筑类型</v>
      </c>
      <c r="R33" s="752" t="s">
        <v>25</v>
      </c>
      <c r="S33" s="753">
        <f t="shared" si="12"/>
        <v>100</v>
      </c>
      <c r="T33" s="752" t="s">
        <v>25</v>
      </c>
      <c r="U33" s="753">
        <f t="shared" si="13"/>
        <v>100</v>
      </c>
      <c r="V33" s="752" t="s">
        <v>25</v>
      </c>
      <c r="W33" s="753">
        <f t="shared" si="14"/>
        <v>100</v>
      </c>
      <c r="X33" s="2751"/>
      <c r="Y33" s="3073" t="s">
        <v>2360</v>
      </c>
      <c r="Z33" s="2752" t="str">
        <f t="shared" si="15"/>
        <v>建筑类型</v>
      </c>
      <c r="AA33" s="2748">
        <f t="shared" si="3"/>
        <v>1</v>
      </c>
      <c r="AB33" s="2748">
        <f t="shared" si="4"/>
        <v>1</v>
      </c>
      <c r="AC33" s="2748">
        <f t="shared" si="5"/>
        <v>1</v>
      </c>
    </row>
    <row r="34" spans="1:29" s="452" customFormat="1" ht="15">
      <c r="A34" s="449"/>
      <c r="B34" s="2747" t="s">
        <v>2361</v>
      </c>
      <c r="C34" s="450">
        <f>'数据-取费表'!E5</f>
        <v>0</v>
      </c>
      <c r="D34" s="52">
        <v>100</v>
      </c>
      <c r="E34" s="410">
        <v>150</v>
      </c>
      <c r="F34" s="405">
        <f>LOOKUP(E34,104:104,105:105)-LOOKUP(C34,104:104,105:105)+100</f>
        <v>100</v>
      </c>
      <c r="G34" s="409">
        <v>1000</v>
      </c>
      <c r="H34" s="52">
        <f>LOOKUP(G34,104:104,105:105)-LOOKUP(C34,104:104,105:105)+100</f>
        <v>98</v>
      </c>
      <c r="I34" s="409">
        <v>400</v>
      </c>
      <c r="J34" s="52">
        <f>LOOKUP(I34,104:104,105:105)-LOOKUP(C34,104:104,105:105)+100</f>
        <v>102</v>
      </c>
      <c r="K34" s="597"/>
      <c r="L34" s="1246"/>
      <c r="M34" s="1249"/>
      <c r="N34" s="1249"/>
      <c r="O34" s="1249"/>
      <c r="P34" s="3098"/>
      <c r="Q34" s="754" t="str">
        <f t="shared" si="11"/>
        <v>项目建筑规模</v>
      </c>
      <c r="R34" s="755" t="s">
        <v>25</v>
      </c>
      <c r="S34" s="756">
        <f t="shared" si="12"/>
        <v>100</v>
      </c>
      <c r="T34" s="755" t="s">
        <v>25</v>
      </c>
      <c r="U34" s="756">
        <f t="shared" si="13"/>
        <v>98</v>
      </c>
      <c r="V34" s="755" t="s">
        <v>25</v>
      </c>
      <c r="W34" s="756">
        <f t="shared" si="14"/>
        <v>102</v>
      </c>
      <c r="X34" s="757"/>
      <c r="Y34" s="3073"/>
      <c r="Z34" s="758" t="str">
        <f t="shared" si="15"/>
        <v>项目建筑规模</v>
      </c>
      <c r="AA34" s="2748">
        <f t="shared" si="3"/>
        <v>1</v>
      </c>
      <c r="AB34" s="2748">
        <f t="shared" si="4"/>
        <v>1.0204081632653061</v>
      </c>
      <c r="AC34" s="2748">
        <f t="shared" si="5"/>
        <v>0.98039215686274506</v>
      </c>
    </row>
    <row r="35" spans="1:29" ht="15">
      <c r="A35" s="453"/>
      <c r="B35" s="2747"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8"/>
      <c r="Q35" s="2750" t="str">
        <f t="shared" si="11"/>
        <v>建筑结构</v>
      </c>
      <c r="R35" s="752" t="s">
        <v>25</v>
      </c>
      <c r="S35" s="753">
        <f t="shared" si="12"/>
        <v>100</v>
      </c>
      <c r="T35" s="752" t="s">
        <v>25</v>
      </c>
      <c r="U35" s="753">
        <f t="shared" si="13"/>
        <v>100</v>
      </c>
      <c r="V35" s="752" t="s">
        <v>25</v>
      </c>
      <c r="W35" s="753">
        <f t="shared" si="14"/>
        <v>100</v>
      </c>
      <c r="X35" s="2751"/>
      <c r="Y35" s="3073"/>
      <c r="Z35" s="2752" t="str">
        <f t="shared" si="15"/>
        <v>建筑结构</v>
      </c>
      <c r="AA35" s="2748">
        <f t="shared" si="3"/>
        <v>1</v>
      </c>
      <c r="AB35" s="2748">
        <f t="shared" si="4"/>
        <v>1</v>
      </c>
      <c r="AC35" s="2748">
        <f t="shared" si="5"/>
        <v>1</v>
      </c>
    </row>
    <row r="36" spans="1:29" ht="15">
      <c r="A36" s="453"/>
      <c r="B36" s="2747"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8"/>
      <c r="Q36" s="2750" t="str">
        <f t="shared" si="11"/>
        <v>公共部分装修</v>
      </c>
      <c r="R36" s="752" t="s">
        <v>25</v>
      </c>
      <c r="S36" s="753">
        <f t="shared" si="12"/>
        <v>100</v>
      </c>
      <c r="T36" s="752" t="s">
        <v>25</v>
      </c>
      <c r="U36" s="753">
        <f t="shared" si="13"/>
        <v>100</v>
      </c>
      <c r="V36" s="752" t="s">
        <v>25</v>
      </c>
      <c r="W36" s="753">
        <f t="shared" si="14"/>
        <v>100</v>
      </c>
      <c r="X36" s="2751"/>
      <c r="Y36" s="3073"/>
      <c r="Z36" s="2752" t="str">
        <f t="shared" si="15"/>
        <v>公共部分装修</v>
      </c>
      <c r="AA36" s="2748">
        <f t="shared" si="3"/>
        <v>1</v>
      </c>
      <c r="AB36" s="2748">
        <f t="shared" si="4"/>
        <v>1</v>
      </c>
      <c r="AC36" s="2748">
        <f t="shared" si="5"/>
        <v>1</v>
      </c>
    </row>
    <row r="37" spans="1:29" ht="15">
      <c r="A37" s="453"/>
      <c r="B37" s="2747"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8"/>
      <c r="Q37" s="2750" t="str">
        <f t="shared" si="11"/>
        <v>成新度</v>
      </c>
      <c r="R37" s="752" t="s">
        <v>25</v>
      </c>
      <c r="S37" s="753">
        <f t="shared" si="12"/>
        <v>100</v>
      </c>
      <c r="T37" s="752" t="s">
        <v>25</v>
      </c>
      <c r="U37" s="753">
        <f t="shared" si="13"/>
        <v>100</v>
      </c>
      <c r="V37" s="752" t="s">
        <v>25</v>
      </c>
      <c r="W37" s="753">
        <f t="shared" si="14"/>
        <v>100</v>
      </c>
      <c r="X37" s="2751"/>
      <c r="Y37" s="3073"/>
      <c r="Z37" s="2752" t="str">
        <f t="shared" si="15"/>
        <v>成新度</v>
      </c>
      <c r="AA37" s="2748">
        <f t="shared" si="3"/>
        <v>1</v>
      </c>
      <c r="AB37" s="2748">
        <f t="shared" si="4"/>
        <v>1</v>
      </c>
      <c r="AC37" s="2748">
        <f t="shared" si="5"/>
        <v>1</v>
      </c>
    </row>
    <row r="38" spans="1:29" s="35" customFormat="1" ht="15">
      <c r="A38" s="454"/>
      <c r="B38" s="2747"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8"/>
      <c r="Q38" s="2746" t="str">
        <f t="shared" si="11"/>
        <v>写字楼等级</v>
      </c>
      <c r="R38" s="748" t="s">
        <v>25</v>
      </c>
      <c r="S38" s="749">
        <f t="shared" si="12"/>
        <v>100</v>
      </c>
      <c r="T38" s="748" t="s">
        <v>25</v>
      </c>
      <c r="U38" s="749">
        <f t="shared" si="13"/>
        <v>100</v>
      </c>
      <c r="V38" s="748" t="s">
        <v>25</v>
      </c>
      <c r="W38" s="749">
        <f t="shared" si="14"/>
        <v>100</v>
      </c>
      <c r="X38" s="750"/>
      <c r="Y38" s="3073"/>
      <c r="Z38" s="23" t="str">
        <f t="shared" si="15"/>
        <v>写字楼等级</v>
      </c>
      <c r="AA38" s="751">
        <f t="shared" si="3"/>
        <v>1</v>
      </c>
      <c r="AB38" s="751">
        <f t="shared" si="4"/>
        <v>1</v>
      </c>
      <c r="AC38" s="751">
        <f t="shared" si="5"/>
        <v>1</v>
      </c>
    </row>
    <row r="39" spans="1:29" ht="15">
      <c r="A39" s="453"/>
      <c r="B39" s="2747"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8" t="s">
        <v>2360</v>
      </c>
      <c r="Q39" s="2750" t="str">
        <f t="shared" si="11"/>
        <v>物业管理</v>
      </c>
      <c r="R39" s="752" t="s">
        <v>25</v>
      </c>
      <c r="S39" s="753">
        <f t="shared" si="12"/>
        <v>100</v>
      </c>
      <c r="T39" s="752" t="s">
        <v>25</v>
      </c>
      <c r="U39" s="753">
        <f t="shared" si="13"/>
        <v>100</v>
      </c>
      <c r="V39" s="752" t="s">
        <v>25</v>
      </c>
      <c r="W39" s="753">
        <f t="shared" si="14"/>
        <v>100</v>
      </c>
      <c r="X39" s="2751"/>
      <c r="Y39" s="3073" t="s">
        <v>2360</v>
      </c>
      <c r="Z39" s="2752" t="str">
        <f t="shared" si="15"/>
        <v>物业管理</v>
      </c>
      <c r="AA39" s="2748">
        <f t="shared" si="3"/>
        <v>1</v>
      </c>
      <c r="AB39" s="2748">
        <f t="shared" si="4"/>
        <v>1</v>
      </c>
      <c r="AC39" s="2748">
        <f t="shared" si="5"/>
        <v>1</v>
      </c>
    </row>
    <row r="40" spans="1:29" ht="15">
      <c r="A40" s="453"/>
      <c r="B40" s="2747"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8"/>
      <c r="Q40" s="2750" t="str">
        <f t="shared" si="11"/>
        <v>市政基础设施</v>
      </c>
      <c r="R40" s="752" t="s">
        <v>25</v>
      </c>
      <c r="S40" s="753">
        <f t="shared" si="12"/>
        <v>100</v>
      </c>
      <c r="T40" s="752" t="s">
        <v>25</v>
      </c>
      <c r="U40" s="753">
        <f t="shared" si="13"/>
        <v>100</v>
      </c>
      <c r="V40" s="752" t="s">
        <v>25</v>
      </c>
      <c r="W40" s="753">
        <f t="shared" si="14"/>
        <v>100</v>
      </c>
      <c r="X40" s="2751"/>
      <c r="Y40" s="3073"/>
      <c r="Z40" s="2752" t="str">
        <f t="shared" si="15"/>
        <v>市政基础设施</v>
      </c>
      <c r="AA40" s="2748">
        <f t="shared" si="3"/>
        <v>1</v>
      </c>
      <c r="AB40" s="2748">
        <f t="shared" si="4"/>
        <v>1</v>
      </c>
      <c r="AC40" s="2748">
        <f t="shared" si="5"/>
        <v>1</v>
      </c>
    </row>
    <row r="41" spans="1:29" ht="15">
      <c r="A41" s="453"/>
      <c r="B41" s="2747"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8"/>
      <c r="Q41" s="2750" t="str">
        <f t="shared" si="11"/>
        <v>层高</v>
      </c>
      <c r="R41" s="752" t="s">
        <v>25</v>
      </c>
      <c r="S41" s="753">
        <f t="shared" si="12"/>
        <v>100</v>
      </c>
      <c r="T41" s="752" t="s">
        <v>25</v>
      </c>
      <c r="U41" s="753">
        <f t="shared" si="13"/>
        <v>100</v>
      </c>
      <c r="V41" s="752" t="s">
        <v>25</v>
      </c>
      <c r="W41" s="753">
        <f t="shared" si="14"/>
        <v>100</v>
      </c>
      <c r="X41" s="2751"/>
      <c r="Y41" s="3073"/>
      <c r="Z41" s="2752" t="str">
        <f t="shared" si="15"/>
        <v>层高</v>
      </c>
      <c r="AA41" s="2748">
        <f t="shared" si="3"/>
        <v>1</v>
      </c>
      <c r="AB41" s="2748">
        <f t="shared" si="4"/>
        <v>1</v>
      </c>
      <c r="AC41" s="2748">
        <f t="shared" si="5"/>
        <v>1</v>
      </c>
    </row>
    <row r="42" spans="1:29" s="452" customFormat="1" ht="15" hidden="1">
      <c r="A42" s="449"/>
      <c r="B42" s="2749" t="s">
        <v>2477</v>
      </c>
      <c r="C42" s="414">
        <f>'数据-取费表'!E5</f>
        <v>0</v>
      </c>
      <c r="D42" s="415">
        <v>100</v>
      </c>
      <c r="E42" s="414">
        <v>150</v>
      </c>
      <c r="F42" s="442">
        <f>SUMIF(121:121,E42,122:122)-SUMIF(121:121,C42,122:122)+100</f>
        <v>2</v>
      </c>
      <c r="G42" s="414">
        <v>1000</v>
      </c>
      <c r="H42" s="415">
        <f>SUMIF(121:121,G42,122:122)-SUMIF(121:121,C42,122:122)+100</f>
        <v>2</v>
      </c>
      <c r="I42" s="414">
        <v>400</v>
      </c>
      <c r="J42" s="415">
        <f>SUMIF(121:121,I42,122:122)-SUMIF(121:121,C42,122:122)+100</f>
        <v>2</v>
      </c>
      <c r="K42" s="597"/>
      <c r="L42" s="1246"/>
      <c r="M42" s="1249"/>
      <c r="N42" s="1249"/>
      <c r="O42" s="1249"/>
      <c r="P42" s="3098"/>
      <c r="Q42" s="754" t="str">
        <f t="shared" si="11"/>
        <v>单套建筑面积</v>
      </c>
      <c r="R42" s="755" t="s">
        <v>25</v>
      </c>
      <c r="S42" s="756">
        <f t="shared" si="12"/>
        <v>2</v>
      </c>
      <c r="T42" s="755" t="s">
        <v>25</v>
      </c>
      <c r="U42" s="756">
        <f t="shared" si="13"/>
        <v>2</v>
      </c>
      <c r="V42" s="755" t="s">
        <v>25</v>
      </c>
      <c r="W42" s="756">
        <f t="shared" si="14"/>
        <v>2</v>
      </c>
      <c r="X42" s="757"/>
      <c r="Y42" s="3073"/>
      <c r="Z42" s="758" t="str">
        <f t="shared" si="15"/>
        <v>单套建筑面积</v>
      </c>
      <c r="AA42" s="2748">
        <f t="shared" si="3"/>
        <v>50</v>
      </c>
      <c r="AB42" s="2748">
        <f t="shared" si="4"/>
        <v>50</v>
      </c>
      <c r="AC42" s="2748">
        <f t="shared" si="5"/>
        <v>50</v>
      </c>
    </row>
    <row r="43" spans="1:29" ht="15">
      <c r="A43" s="453"/>
      <c r="B43" s="2747" t="s">
        <v>2454</v>
      </c>
      <c r="C43" s="441" t="s">
        <v>2899</v>
      </c>
      <c r="D43" s="415">
        <v>100</v>
      </c>
      <c r="E43" s="441" t="s">
        <v>2894</v>
      </c>
      <c r="F43" s="442">
        <f>SUMIF(123:123,E43,124:124)-SUMIF(123:123,C43,124:124)+100</f>
        <v>103</v>
      </c>
      <c r="G43" s="441" t="s">
        <v>2900</v>
      </c>
      <c r="H43" s="415">
        <f>SUMIF(123:123,G43,124:124)-SUMIF(123:123,C43,124:124)+100</f>
        <v>97</v>
      </c>
      <c r="I43" s="441" t="s">
        <v>2899</v>
      </c>
      <c r="J43" s="415">
        <f>SUMIF(123:123,I43,124:124)-SUMIF(123:123,C43,124:124)+100</f>
        <v>100</v>
      </c>
      <c r="K43" s="596">
        <v>3</v>
      </c>
      <c r="L43" s="1248"/>
      <c r="M43" s="1239"/>
      <c r="N43" s="1239"/>
      <c r="O43" s="1239"/>
      <c r="P43" s="3098"/>
      <c r="Q43" s="2750" t="str">
        <f t="shared" si="11"/>
        <v>内部装修</v>
      </c>
      <c r="R43" s="752" t="s">
        <v>25</v>
      </c>
      <c r="S43" s="753">
        <f t="shared" si="12"/>
        <v>103</v>
      </c>
      <c r="T43" s="752" t="s">
        <v>25</v>
      </c>
      <c r="U43" s="753">
        <f t="shared" si="13"/>
        <v>97</v>
      </c>
      <c r="V43" s="752" t="s">
        <v>25</v>
      </c>
      <c r="W43" s="753">
        <f t="shared" si="14"/>
        <v>100</v>
      </c>
      <c r="X43" s="2751"/>
      <c r="Y43" s="3073"/>
      <c r="Z43" s="2752" t="str">
        <f t="shared" si="15"/>
        <v>内部装修</v>
      </c>
      <c r="AA43" s="2748">
        <f t="shared" si="3"/>
        <v>0.970873786407767</v>
      </c>
      <c r="AB43" s="2748">
        <f t="shared" si="4"/>
        <v>1.0309278350515463</v>
      </c>
      <c r="AC43" s="2748">
        <f t="shared" si="5"/>
        <v>1</v>
      </c>
    </row>
    <row r="44" spans="1:29" ht="15.75" thickBot="1">
      <c r="A44" s="453"/>
      <c r="B44" s="2747"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8"/>
      <c r="Q44" s="2750" t="str">
        <f t="shared" si="11"/>
        <v>内部装修维护情况</v>
      </c>
      <c r="R44" s="752" t="s">
        <v>25</v>
      </c>
      <c r="S44" s="753">
        <f t="shared" si="12"/>
        <v>100</v>
      </c>
      <c r="T44" s="752" t="s">
        <v>25</v>
      </c>
      <c r="U44" s="753">
        <f t="shared" si="13"/>
        <v>100</v>
      </c>
      <c r="V44" s="752" t="s">
        <v>25</v>
      </c>
      <c r="W44" s="753">
        <f t="shared" si="14"/>
        <v>100</v>
      </c>
      <c r="X44" s="2751"/>
      <c r="Y44" s="3073"/>
      <c r="Z44" s="2752" t="str">
        <f t="shared" si="15"/>
        <v>内部装修维护情况</v>
      </c>
      <c r="AA44" s="2748">
        <f t="shared" si="3"/>
        <v>1</v>
      </c>
      <c r="AB44" s="2748">
        <f t="shared" si="4"/>
        <v>1</v>
      </c>
      <c r="AC44" s="2748">
        <f t="shared" si="5"/>
        <v>1</v>
      </c>
    </row>
    <row r="45" spans="1:29" s="35" customFormat="1" ht="15.75" hidden="1" thickBot="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8"/>
      <c r="Q45" s="2746">
        <f t="shared" si="11"/>
        <v>111</v>
      </c>
      <c r="R45" s="748" t="s">
        <v>25</v>
      </c>
      <c r="S45" s="749">
        <f t="shared" si="12"/>
        <v>100</v>
      </c>
      <c r="T45" s="748" t="s">
        <v>25</v>
      </c>
      <c r="U45" s="749">
        <f t="shared" si="13"/>
        <v>100</v>
      </c>
      <c r="V45" s="748" t="s">
        <v>25</v>
      </c>
      <c r="W45" s="749">
        <f t="shared" si="14"/>
        <v>100</v>
      </c>
      <c r="X45" s="750"/>
      <c r="Y45" s="3073"/>
      <c r="Z45" s="23">
        <f t="shared" si="15"/>
        <v>111</v>
      </c>
      <c r="AA45" s="751">
        <f t="shared" si="3"/>
        <v>1</v>
      </c>
      <c r="AB45" s="751">
        <f t="shared" si="4"/>
        <v>1</v>
      </c>
      <c r="AC45" s="751">
        <f t="shared" si="5"/>
        <v>1</v>
      </c>
    </row>
    <row r="46" spans="1:29" ht="15.75" hidden="1" thickBot="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8"/>
      <c r="Q46" s="2750">
        <f t="shared" si="11"/>
        <v>111</v>
      </c>
      <c r="R46" s="752" t="s">
        <v>25</v>
      </c>
      <c r="S46" s="753">
        <f t="shared" si="12"/>
        <v>100</v>
      </c>
      <c r="T46" s="752" t="s">
        <v>25</v>
      </c>
      <c r="U46" s="753">
        <f t="shared" si="13"/>
        <v>100</v>
      </c>
      <c r="V46" s="752" t="s">
        <v>25</v>
      </c>
      <c r="W46" s="753">
        <f t="shared" si="14"/>
        <v>100</v>
      </c>
      <c r="X46" s="2751"/>
      <c r="Y46" s="3073"/>
      <c r="Z46" s="2752">
        <f t="shared" si="15"/>
        <v>111</v>
      </c>
      <c r="AA46" s="2748">
        <f t="shared" si="3"/>
        <v>1</v>
      </c>
      <c r="AB46" s="2748">
        <f t="shared" si="4"/>
        <v>1</v>
      </c>
      <c r="AC46" s="2748">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9"/>
      <c r="Q47" s="2750">
        <f t="shared" si="11"/>
        <v>111</v>
      </c>
      <c r="R47" s="752" t="s">
        <v>25</v>
      </c>
      <c r="S47" s="753">
        <f t="shared" si="12"/>
        <v>100</v>
      </c>
      <c r="T47" s="752" t="s">
        <v>25</v>
      </c>
      <c r="U47" s="753">
        <f t="shared" si="13"/>
        <v>100</v>
      </c>
      <c r="V47" s="752" t="s">
        <v>25</v>
      </c>
      <c r="W47" s="753">
        <f t="shared" si="14"/>
        <v>100</v>
      </c>
      <c r="X47" s="2751"/>
      <c r="Y47" s="3074"/>
      <c r="Z47" s="2752">
        <f t="shared" si="15"/>
        <v>111</v>
      </c>
      <c r="AA47" s="2748">
        <f t="shared" si="3"/>
        <v>1</v>
      </c>
      <c r="AB47" s="2748">
        <f t="shared" si="4"/>
        <v>1</v>
      </c>
      <c r="AC47" s="2748">
        <f t="shared" si="5"/>
        <v>1</v>
      </c>
    </row>
    <row r="48" spans="1:29" ht="15">
      <c r="A48" s="460" t="s">
        <v>2372</v>
      </c>
      <c r="B48" s="461"/>
      <c r="C48" s="1497" t="s">
        <v>1</v>
      </c>
      <c r="D48" s="1498"/>
      <c r="E48" s="1499">
        <v>5.8</v>
      </c>
      <c r="F48" s="1500"/>
      <c r="G48" s="1501">
        <v>5</v>
      </c>
      <c r="H48" s="1502"/>
      <c r="I48" s="1499">
        <v>6</v>
      </c>
      <c r="J48" s="1502"/>
      <c r="K48" s="761"/>
      <c r="L48" s="1251"/>
      <c r="M48" s="1239"/>
      <c r="N48" s="1239"/>
      <c r="O48" s="1239"/>
      <c r="P48" s="3086" t="str">
        <f>A48</f>
        <v>成交单价（元/平方米）</v>
      </c>
      <c r="Q48" s="3079"/>
      <c r="R48" s="3080">
        <f>E48</f>
        <v>5.8</v>
      </c>
      <c r="S48" s="3080"/>
      <c r="T48" s="3080">
        <f>G48</f>
        <v>5</v>
      </c>
      <c r="U48" s="3080"/>
      <c r="V48" s="3080">
        <f>I48</f>
        <v>6</v>
      </c>
      <c r="W48" s="3080"/>
      <c r="X48" s="737"/>
      <c r="Y48" s="759"/>
      <c r="Z48" s="737"/>
      <c r="AA48" s="737"/>
      <c r="AB48" s="737"/>
      <c r="AC48" s="737"/>
    </row>
    <row r="49" spans="1:29" ht="15.75" thickBot="1">
      <c r="A49" s="467" t="s">
        <v>2373</v>
      </c>
      <c r="B49" s="468"/>
      <c r="C49" s="1503">
        <f>R50</f>
        <v>276.89999999999998</v>
      </c>
      <c r="D49" s="1504"/>
      <c r="E49" s="1505">
        <f>R49</f>
        <v>278.8</v>
      </c>
      <c r="F49" s="1505"/>
      <c r="G49" s="1503">
        <f>T49</f>
        <v>257.8</v>
      </c>
      <c r="H49" s="1504"/>
      <c r="I49" s="1505">
        <f>V49</f>
        <v>294.10000000000002</v>
      </c>
      <c r="J49" s="1504"/>
      <c r="K49" s="762"/>
      <c r="L49" s="1251"/>
      <c r="M49" s="1239"/>
      <c r="N49" s="1239"/>
      <c r="O49" s="1239"/>
      <c r="P49" s="3086" t="str">
        <f>A49</f>
        <v>比较价值（元/平方米）</v>
      </c>
      <c r="Q49" s="3079"/>
      <c r="R49" s="3080">
        <f>IF(E1="售价",ROUND(PRODUCT(R48,AA7:AA47),0),ROUND(PRODUCT(R48,AA7:AA47),1))</f>
        <v>278.8</v>
      </c>
      <c r="S49" s="3080"/>
      <c r="T49" s="3080">
        <f>IF(E1="售价",ROUND(PRODUCT(T48,AB7:AB47),0),ROUND(PRODUCT(T48,AB7:AB47),1))</f>
        <v>257.8</v>
      </c>
      <c r="U49" s="3080"/>
      <c r="V49" s="3080">
        <f>IF(E1="售价",ROUND(PRODUCT(V48,AC7:AC47),0),ROUND(PRODUCT(V48,AC7:AC47),1))</f>
        <v>294.10000000000002</v>
      </c>
      <c r="W49" s="3080"/>
      <c r="X49" s="737"/>
      <c r="Y49" s="737"/>
      <c r="Z49" s="737"/>
      <c r="AA49" s="737"/>
      <c r="AB49" s="737"/>
      <c r="AC49" s="737"/>
    </row>
    <row r="50" spans="1:29" ht="15.75" thickBot="1">
      <c r="A50" s="473" t="s">
        <v>2374</v>
      </c>
      <c r="B50" s="474"/>
      <c r="C50" s="1507">
        <f>R50</f>
        <v>276.89999999999998</v>
      </c>
      <c r="D50" s="1507"/>
      <c r="E50" s="1507"/>
      <c r="F50" s="1507"/>
      <c r="G50" s="1507"/>
      <c r="H50" s="1507"/>
      <c r="I50" s="1507"/>
      <c r="J50" s="1507"/>
      <c r="K50" s="763"/>
      <c r="L50" s="1251"/>
      <c r="M50" s="1239"/>
      <c r="N50" s="1239"/>
      <c r="O50" s="1239"/>
      <c r="P50" s="3100" t="str">
        <f>A50</f>
        <v>估价对象XX用房的比较价值（楼面单价，元/平方米）</v>
      </c>
      <c r="Q50" s="3086"/>
      <c r="R50" s="3087">
        <f>IF(E1="售价",ROUND(AVERAGE(R49:V49),0),ROUND(AVERAGE(R49:V49),1))</f>
        <v>276.89999999999998</v>
      </c>
      <c r="S50" s="3087"/>
      <c r="T50" s="3087"/>
      <c r="U50" s="3087"/>
      <c r="V50" s="3087"/>
      <c r="W50" s="3087"/>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2375</v>
      </c>
      <c r="D53" s="479"/>
      <c r="E53" s="480">
        <f>IF(E48&lt;E49,E49/E48-1,E48/E49-1)</f>
        <v>47.068965517241381</v>
      </c>
      <c r="F53" s="481" t="str">
        <f>IF(OR(E53&gt;=0.3,E53&lt;=-0.3),"超过30%","")</f>
        <v>超过30%</v>
      </c>
      <c r="G53" s="480">
        <f>IF(G48&lt;G49,G49/G48-1,G48/G49-1)</f>
        <v>50.56</v>
      </c>
      <c r="H53" s="481" t="str">
        <f>IF(OR(G53&gt;=0.3,G53&lt;=-0.3),"超过30%","")</f>
        <v>超过30%</v>
      </c>
      <c r="I53" s="480">
        <f>IF(I48&lt;I49,I49/I48-1,I48/I49-1)</f>
        <v>48.016666666666673</v>
      </c>
      <c r="J53" s="481" t="str">
        <f>IF(OR(I53&gt;=0.3,I53&lt;=-0.3),"超过30%","")</f>
        <v>超过30%</v>
      </c>
      <c r="K53" s="1257"/>
      <c r="L53" s="1253"/>
      <c r="M53" s="1252"/>
      <c r="N53" s="1252"/>
      <c r="O53" s="1252"/>
    </row>
    <row r="54" spans="1:29" ht="13.5" customHeight="1">
      <c r="A54" s="1252"/>
      <c r="B54" s="1252"/>
      <c r="C54" s="478" t="s">
        <v>2376</v>
      </c>
      <c r="D54" s="482"/>
      <c r="E54" s="480">
        <f>IF(E49&lt;G49,G49/E49-1,E49/G49-1)</f>
        <v>8.1458494957331151E-2</v>
      </c>
      <c r="F54" s="481" t="str">
        <f>IF(OR(E54&gt;=0.2,E54&lt;=-0.2),"超过20%","")</f>
        <v/>
      </c>
      <c r="G54" s="480">
        <f>IF(G49&lt;I49,I49/G49-1,G49/I49-1)</f>
        <v>0.14080682699767255</v>
      </c>
      <c r="H54" s="481" t="str">
        <f>IF(OR(G54&gt;=0.2,G54&lt;=-0.2),"超过20%","")</f>
        <v/>
      </c>
      <c r="I54" s="480">
        <f>IF(I49&lt;E49,E49/I49-1,I49/E49-1)</f>
        <v>5.4878048780487854E-2</v>
      </c>
      <c r="J54" s="481" t="str">
        <f>IF(OR(I54&gt;=0.2,I54&lt;=-0.2),"超过20%","")</f>
        <v/>
      </c>
      <c r="K54" s="1257"/>
      <c r="L54" s="1253"/>
      <c r="M54" s="1252"/>
      <c r="N54" s="1252"/>
      <c r="O54" s="1252"/>
    </row>
    <row r="55" spans="1:29" s="483" customFormat="1" ht="13.5" customHeight="1">
      <c r="A55" s="1254"/>
      <c r="B55" s="1254"/>
      <c r="C55" s="478" t="s">
        <v>2377</v>
      </c>
      <c r="D55" s="482"/>
      <c r="E55" s="480">
        <f>IF(E48&lt;G48,G48/E48-1,E48/G48-1)</f>
        <v>0.15999999999999992</v>
      </c>
      <c r="F55" s="481" t="str">
        <f>IF(OR(E55&gt;=0.3,E55&lt;=-0.3),"超过30%","")</f>
        <v/>
      </c>
      <c r="G55" s="480">
        <f>IF(G48&lt;I48,I48/G48-1,G48/I48-1)</f>
        <v>0.19999999999999996</v>
      </c>
      <c r="H55" s="481" t="str">
        <f>IF(OR(G55&gt;=0.3,G55&lt;=-0.3),"超过30%","")</f>
        <v/>
      </c>
      <c r="I55" s="480">
        <f>IF(I48&lt;E48,E48/I48-1,I48/E48-1)</f>
        <v>3.4482758620689724E-2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2378</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75" zoomScale="90" zoomScaleNormal="90" workbookViewId="0">
      <selection activeCell="C89" sqref="C89:E8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2844</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1997</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1998</v>
      </c>
      <c r="B3" s="593">
        <f>ROUND(IF(D2="——",C50,IF(C2="万元",B2*10000/D3,B2/D3)),0)</f>
        <v>2240341</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94" t="s">
        <v>2335</v>
      </c>
      <c r="Q4" s="3052"/>
      <c r="R4" s="3057" t="s">
        <v>2331</v>
      </c>
      <c r="S4" s="3058"/>
      <c r="T4" s="3057" t="s">
        <v>2332</v>
      </c>
      <c r="U4" s="3058"/>
      <c r="V4" s="3063" t="s">
        <v>2333</v>
      </c>
      <c r="W4" s="3063"/>
      <c r="X4" s="1894"/>
      <c r="Y4" s="3057" t="s">
        <v>2335</v>
      </c>
      <c r="Z4" s="3058"/>
      <c r="AA4" s="3044" t="s">
        <v>2331</v>
      </c>
      <c r="AB4" s="3044" t="s">
        <v>2332</v>
      </c>
      <c r="AC4" s="3044" t="s">
        <v>2333</v>
      </c>
    </row>
    <row r="5" spans="1:29" ht="15">
      <c r="A5" s="383"/>
      <c r="B5" s="384"/>
      <c r="C5" s="3064" t="s">
        <v>2845</v>
      </c>
      <c r="D5" s="3065"/>
      <c r="E5" s="3064" t="s">
        <v>2845</v>
      </c>
      <c r="F5" s="3065"/>
      <c r="G5" s="3064" t="s">
        <v>2845</v>
      </c>
      <c r="H5" s="3065"/>
      <c r="I5" s="3064" t="s">
        <v>2845</v>
      </c>
      <c r="J5" s="3065"/>
      <c r="K5" s="594"/>
      <c r="L5" s="1238"/>
      <c r="M5" s="1239"/>
      <c r="N5" s="1239"/>
      <c r="O5" s="1239"/>
      <c r="P5" s="3095"/>
      <c r="Q5" s="3054"/>
      <c r="R5" s="3059"/>
      <c r="S5" s="3060"/>
      <c r="T5" s="3059"/>
      <c r="U5" s="3060"/>
      <c r="V5" s="3063"/>
      <c r="W5" s="3063"/>
      <c r="X5" s="1894"/>
      <c r="Y5" s="3059"/>
      <c r="Z5" s="3060"/>
      <c r="AA5" s="3045"/>
      <c r="AB5" s="3045"/>
      <c r="AC5" s="3045"/>
    </row>
    <row r="6" spans="1:29" ht="15.75" thickBot="1">
      <c r="A6" s="385"/>
      <c r="B6" s="386"/>
      <c r="C6" s="3066" t="s">
        <v>2846</v>
      </c>
      <c r="D6" s="3067"/>
      <c r="E6" s="3066" t="s">
        <v>2846</v>
      </c>
      <c r="F6" s="3067"/>
      <c r="G6" s="3066" t="s">
        <v>2846</v>
      </c>
      <c r="H6" s="3067"/>
      <c r="I6" s="3066" t="s">
        <v>2846</v>
      </c>
      <c r="J6" s="3067"/>
      <c r="K6" s="594" t="s">
        <v>2341</v>
      </c>
      <c r="L6" s="1238"/>
      <c r="M6" s="1239"/>
      <c r="N6" s="1239"/>
      <c r="O6" s="1239"/>
      <c r="P6" s="3096"/>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77" t="s">
        <v>2343</v>
      </c>
      <c r="Q7" s="3077"/>
      <c r="R7" s="748" t="s">
        <v>25</v>
      </c>
      <c r="S7" s="749">
        <f t="shared" ref="S7:S15" si="0">F7</f>
        <v>100</v>
      </c>
      <c r="T7" s="748" t="s">
        <v>25</v>
      </c>
      <c r="U7" s="749">
        <f t="shared" ref="U7:U15" si="1">H7</f>
        <v>100</v>
      </c>
      <c r="V7" s="748" t="s">
        <v>25</v>
      </c>
      <c r="W7" s="749">
        <f t="shared" ref="W7:W15" si="2">J7</f>
        <v>100</v>
      </c>
      <c r="X7" s="750"/>
      <c r="Y7" s="3075" t="s">
        <v>2343</v>
      </c>
      <c r="Z7" s="3076"/>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7" t="s">
        <v>2346</v>
      </c>
      <c r="Q8" s="3076"/>
      <c r="R8" s="748" t="s">
        <v>25</v>
      </c>
      <c r="S8" s="749">
        <f t="shared" si="0"/>
        <v>100</v>
      </c>
      <c r="T8" s="748" t="s">
        <v>25</v>
      </c>
      <c r="U8" s="749">
        <f t="shared" si="1"/>
        <v>100</v>
      </c>
      <c r="V8" s="748" t="s">
        <v>25</v>
      </c>
      <c r="W8" s="749">
        <f t="shared" si="2"/>
        <v>100</v>
      </c>
      <c r="X8" s="750"/>
      <c r="Y8" s="3075" t="s">
        <v>2346</v>
      </c>
      <c r="Z8" s="3076"/>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86"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86"/>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86"/>
      <c r="Q11" s="1881" t="str">
        <f t="shared" si="6"/>
        <v>容积率</v>
      </c>
      <c r="R11" s="748" t="s">
        <v>25</v>
      </c>
      <c r="S11" s="749">
        <f t="shared" si="0"/>
        <v>100</v>
      </c>
      <c r="T11" s="748" t="s">
        <v>25</v>
      </c>
      <c r="U11" s="749">
        <f t="shared" si="1"/>
        <v>100</v>
      </c>
      <c r="V11" s="748" t="s">
        <v>25</v>
      </c>
      <c r="W11" s="749">
        <f t="shared" si="2"/>
        <v>100</v>
      </c>
      <c r="X11" s="750"/>
      <c r="Y11" s="2875"/>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86"/>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86"/>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86"/>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52" t="s">
        <v>2354</v>
      </c>
      <c r="Q15" s="1893" t="str">
        <f t="shared" si="6"/>
        <v>办公集聚程度</v>
      </c>
      <c r="R15" s="752" t="s">
        <v>25</v>
      </c>
      <c r="S15" s="753">
        <f t="shared" si="0"/>
        <v>100</v>
      </c>
      <c r="T15" s="752" t="s">
        <v>25</v>
      </c>
      <c r="U15" s="753">
        <f t="shared" si="1"/>
        <v>100</v>
      </c>
      <c r="V15" s="752" t="s">
        <v>25</v>
      </c>
      <c r="W15" s="753">
        <f t="shared" si="2"/>
        <v>100</v>
      </c>
      <c r="X15" s="1894"/>
      <c r="Y15" s="3068" t="s">
        <v>2354</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54"/>
      <c r="Q16" s="1893"/>
      <c r="R16" s="752"/>
      <c r="S16" s="753"/>
      <c r="T16" s="752"/>
      <c r="U16" s="753"/>
      <c r="V16" s="752"/>
      <c r="W16" s="753"/>
      <c r="X16" s="1894"/>
      <c r="Y16" s="3069"/>
      <c r="Z16" s="1896"/>
      <c r="AA16" s="1897">
        <v>1</v>
      </c>
      <c r="AB16" s="1897">
        <v>1</v>
      </c>
      <c r="AC16" s="1897">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54"/>
      <c r="Q17" s="1893" t="str">
        <f>B17</f>
        <v>交通便捷度</v>
      </c>
      <c r="R17" s="752" t="s">
        <v>25</v>
      </c>
      <c r="S17" s="753">
        <f>F17</f>
        <v>100</v>
      </c>
      <c r="T17" s="752" t="s">
        <v>25</v>
      </c>
      <c r="U17" s="753">
        <f>H17</f>
        <v>100</v>
      </c>
      <c r="V17" s="752" t="s">
        <v>25</v>
      </c>
      <c r="W17" s="753">
        <f>J17</f>
        <v>100</v>
      </c>
      <c r="X17" s="1894"/>
      <c r="Y17" s="3069"/>
      <c r="Z17" s="1896" t="str">
        <f>Q17</f>
        <v>交通便捷度</v>
      </c>
      <c r="AA17" s="1897">
        <f t="shared" si="3"/>
        <v>1</v>
      </c>
      <c r="AB17" s="1897">
        <f t="shared" si="4"/>
        <v>1</v>
      </c>
      <c r="AC17" s="1897">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54"/>
      <c r="Q18" s="1893"/>
      <c r="R18" s="752"/>
      <c r="S18" s="753"/>
      <c r="T18" s="752"/>
      <c r="U18" s="753"/>
      <c r="V18" s="752"/>
      <c r="W18" s="753"/>
      <c r="X18" s="1894"/>
      <c r="Y18" s="3069"/>
      <c r="Z18" s="1896"/>
      <c r="AA18" s="1897">
        <v>1</v>
      </c>
      <c r="AB18" s="1897">
        <v>1</v>
      </c>
      <c r="AC18" s="1897">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54"/>
      <c r="Q19" s="1893" t="str">
        <f>B19</f>
        <v>公共配套设施</v>
      </c>
      <c r="R19" s="752" t="s">
        <v>25</v>
      </c>
      <c r="S19" s="753">
        <f>F19</f>
        <v>100</v>
      </c>
      <c r="T19" s="752" t="s">
        <v>25</v>
      </c>
      <c r="U19" s="753">
        <f>H19</f>
        <v>100</v>
      </c>
      <c r="V19" s="752" t="s">
        <v>25</v>
      </c>
      <c r="W19" s="753">
        <f>J19</f>
        <v>100</v>
      </c>
      <c r="X19" s="1894"/>
      <c r="Y19" s="3069"/>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54"/>
      <c r="Q20" s="1893"/>
      <c r="R20" s="752"/>
      <c r="S20" s="753"/>
      <c r="T20" s="752"/>
      <c r="U20" s="753"/>
      <c r="V20" s="752"/>
      <c r="W20" s="753"/>
      <c r="X20" s="1894"/>
      <c r="Y20" s="3069"/>
      <c r="Z20" s="1896"/>
      <c r="AA20" s="1897">
        <v>1</v>
      </c>
      <c r="AB20" s="1897">
        <v>1</v>
      </c>
      <c r="AC20" s="1897">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54"/>
      <c r="Q21" s="1893" t="str">
        <f>B21</f>
        <v>基础设施水平</v>
      </c>
      <c r="R21" s="752" t="s">
        <v>25</v>
      </c>
      <c r="S21" s="753">
        <f>F21</f>
        <v>100</v>
      </c>
      <c r="T21" s="752" t="s">
        <v>25</v>
      </c>
      <c r="U21" s="753">
        <f>H21</f>
        <v>100</v>
      </c>
      <c r="V21" s="752" t="s">
        <v>25</v>
      </c>
      <c r="W21" s="753">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54"/>
      <c r="Q22" s="1893"/>
      <c r="R22" s="752"/>
      <c r="S22" s="753"/>
      <c r="T22" s="752"/>
      <c r="U22" s="753"/>
      <c r="V22" s="752"/>
      <c r="W22" s="753"/>
      <c r="X22" s="1894"/>
      <c r="Y22" s="3069"/>
      <c r="Z22" s="1896"/>
      <c r="AA22" s="1897">
        <v>1</v>
      </c>
      <c r="AB22" s="1897">
        <v>1</v>
      </c>
      <c r="AC22" s="1897">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54"/>
      <c r="Q23" s="1893" t="str">
        <f>B23</f>
        <v>环境质量</v>
      </c>
      <c r="R23" s="752" t="s">
        <v>25</v>
      </c>
      <c r="S23" s="753">
        <f>F23</f>
        <v>100</v>
      </c>
      <c r="T23" s="752" t="s">
        <v>25</v>
      </c>
      <c r="U23" s="753">
        <f>H23</f>
        <v>100</v>
      </c>
      <c r="V23" s="752" t="s">
        <v>25</v>
      </c>
      <c r="W23" s="753">
        <f>J23</f>
        <v>100</v>
      </c>
      <c r="X23" s="1894"/>
      <c r="Y23" s="3069"/>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54"/>
      <c r="Q24" s="1893"/>
      <c r="R24" s="752"/>
      <c r="S24" s="753"/>
      <c r="T24" s="752"/>
      <c r="U24" s="753"/>
      <c r="V24" s="752"/>
      <c r="W24" s="753"/>
      <c r="X24" s="1894"/>
      <c r="Y24" s="3069"/>
      <c r="Z24" s="1896"/>
      <c r="AA24" s="1897">
        <v>1</v>
      </c>
      <c r="AB24" s="1897">
        <v>1</v>
      </c>
      <c r="AC24" s="1897">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54"/>
      <c r="Q25" s="1893" t="str">
        <f>B25</f>
        <v>毗邻道路的类型与等级</v>
      </c>
      <c r="R25" s="752" t="s">
        <v>25</v>
      </c>
      <c r="S25" s="753">
        <f>F25</f>
        <v>100</v>
      </c>
      <c r="T25" s="752" t="s">
        <v>25</v>
      </c>
      <c r="U25" s="753">
        <f>H25</f>
        <v>100</v>
      </c>
      <c r="V25" s="752" t="s">
        <v>25</v>
      </c>
      <c r="W25" s="753">
        <f>J25</f>
        <v>100</v>
      </c>
      <c r="X25" s="1894"/>
      <c r="Y25" s="3069"/>
      <c r="Z25" s="1896" t="str">
        <f>Q25</f>
        <v>毗邻道路的类型与等级</v>
      </c>
      <c r="AA25" s="1897">
        <f t="shared" si="3"/>
        <v>1</v>
      </c>
      <c r="AB25" s="1897">
        <f t="shared" si="4"/>
        <v>1</v>
      </c>
      <c r="AC25" s="1897">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54"/>
      <c r="Q26" s="1893"/>
      <c r="R26" s="752"/>
      <c r="S26" s="753"/>
      <c r="T26" s="752"/>
      <c r="U26" s="753"/>
      <c r="V26" s="752"/>
      <c r="W26" s="753"/>
      <c r="X26" s="1894"/>
      <c r="Y26" s="3069"/>
      <c r="Z26" s="1896"/>
      <c r="AA26" s="1897">
        <v>1</v>
      </c>
      <c r="AB26" s="1897">
        <v>1</v>
      </c>
      <c r="AC26" s="1897">
        <v>1</v>
      </c>
    </row>
    <row r="27" spans="1:29" ht="15.75" thickBot="1">
      <c r="A27" s="408"/>
      <c r="B27" s="616" t="s">
        <v>2445</v>
      </c>
      <c r="C27" s="618" t="s">
        <v>2852</v>
      </c>
      <c r="D27" s="415">
        <v>100</v>
      </c>
      <c r="E27" s="600" t="s">
        <v>2890</v>
      </c>
      <c r="F27" s="415">
        <f>SUMIF(89:89,E27,90:90)-SUMIF(89:89,C27,90:90)+100</f>
        <v>102</v>
      </c>
      <c r="G27" s="618" t="s">
        <v>2891</v>
      </c>
      <c r="H27" s="415">
        <f>SUMIF(89:89,G27,90:90)-SUMIF(89:89,C27,90:90)+100</f>
        <v>101</v>
      </c>
      <c r="I27" s="600" t="s">
        <v>2890</v>
      </c>
      <c r="J27" s="415">
        <f>SUMIF(89:89,I27,90:90)-SUMIF(89:89,C27,90:90)+100</f>
        <v>102</v>
      </c>
      <c r="K27" s="596">
        <v>1</v>
      </c>
      <c r="L27" s="1248"/>
      <c r="M27" s="1239"/>
      <c r="N27" s="1239"/>
      <c r="O27" s="1239"/>
      <c r="P27" s="3054"/>
      <c r="Q27" s="1893" t="str">
        <f t="shared" ref="Q27:Q47" si="11">B27</f>
        <v>楼层</v>
      </c>
      <c r="R27" s="752" t="s">
        <v>25</v>
      </c>
      <c r="S27" s="753">
        <f>F27</f>
        <v>102</v>
      </c>
      <c r="T27" s="752" t="s">
        <v>25</v>
      </c>
      <c r="U27" s="753">
        <f>H27</f>
        <v>101</v>
      </c>
      <c r="V27" s="752" t="s">
        <v>25</v>
      </c>
      <c r="W27" s="753">
        <f>J27</f>
        <v>102</v>
      </c>
      <c r="X27" s="1894"/>
      <c r="Y27" s="3069"/>
      <c r="Z27" s="1896" t="str">
        <f>Q27</f>
        <v>楼层</v>
      </c>
      <c r="AA27" s="1897">
        <f t="shared" si="3"/>
        <v>0.98039215686274506</v>
      </c>
      <c r="AB27" s="1897">
        <f t="shared" si="4"/>
        <v>0.99009900990099009</v>
      </c>
      <c r="AC27" s="1897">
        <f t="shared" si="5"/>
        <v>0.98039215686274506</v>
      </c>
    </row>
    <row r="28" spans="1:29" s="35" customFormat="1" ht="15" hidden="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54"/>
      <c r="Q28" s="1881" t="str">
        <f t="shared" si="11"/>
        <v>朝向</v>
      </c>
      <c r="R28" s="748" t="s">
        <v>25</v>
      </c>
      <c r="S28" s="749">
        <f>F28</f>
        <v>100</v>
      </c>
      <c r="T28" s="748" t="s">
        <v>25</v>
      </c>
      <c r="U28" s="749">
        <f>H28</f>
        <v>100</v>
      </c>
      <c r="V28" s="748" t="s">
        <v>25</v>
      </c>
      <c r="W28" s="749">
        <f>J28</f>
        <v>100</v>
      </c>
      <c r="X28" s="750"/>
      <c r="Y28" s="3069"/>
      <c r="Z28" s="23" t="str">
        <f>Q28</f>
        <v>朝向</v>
      </c>
      <c r="AA28" s="1897">
        <f>D28/F28</f>
        <v>1</v>
      </c>
      <c r="AB28" s="1897">
        <f>D28/H28</f>
        <v>1</v>
      </c>
      <c r="AC28" s="1897">
        <f>D28/J28</f>
        <v>1</v>
      </c>
    </row>
    <row r="29" spans="1:29" ht="15" hidden="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54"/>
      <c r="Q29" s="1893">
        <f t="shared" si="11"/>
        <v>111</v>
      </c>
      <c r="R29" s="752" t="s">
        <v>25</v>
      </c>
      <c r="S29" s="753">
        <f t="shared" ref="S29:S47" si="12">F29</f>
        <v>100</v>
      </c>
      <c r="T29" s="752" t="s">
        <v>25</v>
      </c>
      <c r="U29" s="753">
        <f t="shared" ref="U29:U47" si="13">H29</f>
        <v>100</v>
      </c>
      <c r="V29" s="752" t="s">
        <v>25</v>
      </c>
      <c r="W29" s="753">
        <f t="shared" ref="W29:W47" si="14">J29</f>
        <v>100</v>
      </c>
      <c r="X29" s="1894"/>
      <c r="Y29" s="3069"/>
      <c r="Z29" s="1896">
        <f t="shared" ref="Z29:Z47" si="15">Q29</f>
        <v>111</v>
      </c>
      <c r="AA29" s="1897">
        <f t="shared" si="3"/>
        <v>1</v>
      </c>
      <c r="AB29" s="1897">
        <f t="shared" si="4"/>
        <v>1</v>
      </c>
      <c r="AC29" s="1897">
        <f t="shared" si="5"/>
        <v>1</v>
      </c>
    </row>
    <row r="30" spans="1:29" ht="15" hidden="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54"/>
      <c r="Q30" s="1893">
        <f t="shared" si="11"/>
        <v>111</v>
      </c>
      <c r="R30" s="752" t="s">
        <v>25</v>
      </c>
      <c r="S30" s="753">
        <f t="shared" si="12"/>
        <v>100</v>
      </c>
      <c r="T30" s="752" t="s">
        <v>25</v>
      </c>
      <c r="U30" s="753">
        <f t="shared" si="13"/>
        <v>100</v>
      </c>
      <c r="V30" s="752" t="s">
        <v>25</v>
      </c>
      <c r="W30" s="753">
        <f t="shared" si="14"/>
        <v>100</v>
      </c>
      <c r="X30" s="1894"/>
      <c r="Y30" s="3069"/>
      <c r="Z30" s="1896">
        <f t="shared" si="15"/>
        <v>111</v>
      </c>
      <c r="AA30" s="1897">
        <f t="shared" si="3"/>
        <v>1</v>
      </c>
      <c r="AB30" s="1897">
        <f t="shared" si="4"/>
        <v>1</v>
      </c>
      <c r="AC30" s="1897">
        <f t="shared" si="5"/>
        <v>1</v>
      </c>
    </row>
    <row r="31" spans="1:29" ht="15" hidden="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54"/>
      <c r="Q31" s="1893">
        <f t="shared" si="11"/>
        <v>111</v>
      </c>
      <c r="R31" s="752" t="s">
        <v>25</v>
      </c>
      <c r="S31" s="753">
        <f t="shared" si="12"/>
        <v>100</v>
      </c>
      <c r="T31" s="752" t="s">
        <v>25</v>
      </c>
      <c r="U31" s="753">
        <f t="shared" si="13"/>
        <v>100</v>
      </c>
      <c r="V31" s="752" t="s">
        <v>25</v>
      </c>
      <c r="W31" s="753">
        <f t="shared" si="14"/>
        <v>100</v>
      </c>
      <c r="X31" s="1894"/>
      <c r="Y31" s="3069"/>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54"/>
      <c r="Q32" s="1893">
        <f t="shared" si="11"/>
        <v>111</v>
      </c>
      <c r="R32" s="752" t="s">
        <v>25</v>
      </c>
      <c r="S32" s="753">
        <f t="shared" si="12"/>
        <v>100</v>
      </c>
      <c r="T32" s="752" t="s">
        <v>25</v>
      </c>
      <c r="U32" s="753">
        <f t="shared" si="13"/>
        <v>100</v>
      </c>
      <c r="V32" s="752" t="s">
        <v>25</v>
      </c>
      <c r="W32" s="753">
        <f t="shared" si="14"/>
        <v>100</v>
      </c>
      <c r="X32" s="1894"/>
      <c r="Y32" s="3069"/>
      <c r="Z32" s="1896">
        <f t="shared" si="15"/>
        <v>111</v>
      </c>
      <c r="AA32" s="1897">
        <f t="shared" si="3"/>
        <v>1</v>
      </c>
      <c r="AB32" s="1897">
        <f t="shared" si="4"/>
        <v>1</v>
      </c>
      <c r="AC32" s="1897">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7" t="s">
        <v>2360</v>
      </c>
      <c r="Q33" s="1893" t="str">
        <f t="shared" si="11"/>
        <v>建筑类型</v>
      </c>
      <c r="R33" s="752" t="s">
        <v>25</v>
      </c>
      <c r="S33" s="753">
        <f t="shared" si="12"/>
        <v>100</v>
      </c>
      <c r="T33" s="752" t="s">
        <v>25</v>
      </c>
      <c r="U33" s="753">
        <f t="shared" si="13"/>
        <v>100</v>
      </c>
      <c r="V33" s="752" t="s">
        <v>25</v>
      </c>
      <c r="W33" s="753">
        <f t="shared" si="14"/>
        <v>100</v>
      </c>
      <c r="X33" s="1894"/>
      <c r="Y33" s="3073" t="s">
        <v>2360</v>
      </c>
      <c r="Z33" s="1896" t="str">
        <f t="shared" si="15"/>
        <v>建筑类型</v>
      </c>
      <c r="AA33" s="1897">
        <f t="shared" si="3"/>
        <v>1</v>
      </c>
      <c r="AB33" s="1897">
        <f t="shared" si="4"/>
        <v>1</v>
      </c>
      <c r="AC33" s="1897">
        <f t="shared" si="5"/>
        <v>1</v>
      </c>
    </row>
    <row r="34" spans="1:29" s="452" customFormat="1" ht="15">
      <c r="A34" s="449"/>
      <c r="B34" s="402" t="s">
        <v>2361</v>
      </c>
      <c r="C34" s="450">
        <f>'数据-取费表'!E5</f>
        <v>0</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6"/>
      <c r="M34" s="1249"/>
      <c r="N34" s="1249"/>
      <c r="O34" s="1249"/>
      <c r="P34" s="3098"/>
      <c r="Q34" s="754" t="str">
        <f t="shared" si="11"/>
        <v>项目建筑规模</v>
      </c>
      <c r="R34" s="755" t="s">
        <v>25</v>
      </c>
      <c r="S34" s="756">
        <f t="shared" si="12"/>
        <v>100</v>
      </c>
      <c r="T34" s="755" t="s">
        <v>25</v>
      </c>
      <c r="U34" s="756">
        <f t="shared" si="13"/>
        <v>100</v>
      </c>
      <c r="V34" s="755" t="s">
        <v>25</v>
      </c>
      <c r="W34" s="756">
        <f t="shared" si="14"/>
        <v>100</v>
      </c>
      <c r="X34" s="757"/>
      <c r="Y34" s="3073"/>
      <c r="Z34" s="758" t="str">
        <f t="shared" si="15"/>
        <v>项目建筑规模</v>
      </c>
      <c r="AA34" s="1897">
        <f t="shared" si="3"/>
        <v>1</v>
      </c>
      <c r="AB34" s="1897">
        <f t="shared" si="4"/>
        <v>1</v>
      </c>
      <c r="AC34" s="1897">
        <f t="shared" si="5"/>
        <v>1</v>
      </c>
    </row>
    <row r="35" spans="1:29" ht="15">
      <c r="A35" s="453"/>
      <c r="B35" s="402"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8"/>
      <c r="Q35" s="1893" t="str">
        <f t="shared" si="11"/>
        <v>建筑结构</v>
      </c>
      <c r="R35" s="752" t="s">
        <v>25</v>
      </c>
      <c r="S35" s="753">
        <f t="shared" si="12"/>
        <v>100</v>
      </c>
      <c r="T35" s="752" t="s">
        <v>25</v>
      </c>
      <c r="U35" s="753">
        <f t="shared" si="13"/>
        <v>100</v>
      </c>
      <c r="V35" s="752" t="s">
        <v>25</v>
      </c>
      <c r="W35" s="753">
        <f t="shared" si="14"/>
        <v>100</v>
      </c>
      <c r="X35" s="1894"/>
      <c r="Y35" s="3073"/>
      <c r="Z35" s="1896" t="str">
        <f t="shared" si="15"/>
        <v>建筑结构</v>
      </c>
      <c r="AA35" s="1897">
        <f t="shared" si="3"/>
        <v>1</v>
      </c>
      <c r="AB35" s="1897">
        <f t="shared" si="4"/>
        <v>1</v>
      </c>
      <c r="AC35" s="1897">
        <f t="shared" si="5"/>
        <v>1</v>
      </c>
    </row>
    <row r="36" spans="1:29" ht="15">
      <c r="A36" s="453"/>
      <c r="B36" s="402"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8"/>
      <c r="Q36" s="1893" t="str">
        <f t="shared" si="11"/>
        <v>公共部分装修</v>
      </c>
      <c r="R36" s="752" t="s">
        <v>25</v>
      </c>
      <c r="S36" s="753">
        <f t="shared" si="12"/>
        <v>100</v>
      </c>
      <c r="T36" s="752" t="s">
        <v>25</v>
      </c>
      <c r="U36" s="753">
        <f t="shared" si="13"/>
        <v>100</v>
      </c>
      <c r="V36" s="752" t="s">
        <v>25</v>
      </c>
      <c r="W36" s="753">
        <f t="shared" si="14"/>
        <v>100</v>
      </c>
      <c r="X36" s="1894"/>
      <c r="Y36" s="3073"/>
      <c r="Z36" s="1896" t="str">
        <f t="shared" si="15"/>
        <v>公共部分装修</v>
      </c>
      <c r="AA36" s="1897">
        <f t="shared" si="3"/>
        <v>1</v>
      </c>
      <c r="AB36" s="1897">
        <f t="shared" si="4"/>
        <v>1</v>
      </c>
      <c r="AC36" s="1897">
        <f t="shared" si="5"/>
        <v>1</v>
      </c>
    </row>
    <row r="37" spans="1:29" ht="15">
      <c r="A37" s="453"/>
      <c r="B37" s="402"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8"/>
      <c r="Q37" s="1893" t="str">
        <f t="shared" si="11"/>
        <v>成新度</v>
      </c>
      <c r="R37" s="752" t="s">
        <v>25</v>
      </c>
      <c r="S37" s="753">
        <f t="shared" si="12"/>
        <v>100</v>
      </c>
      <c r="T37" s="752" t="s">
        <v>25</v>
      </c>
      <c r="U37" s="753">
        <f t="shared" si="13"/>
        <v>100</v>
      </c>
      <c r="V37" s="752" t="s">
        <v>25</v>
      </c>
      <c r="W37" s="753">
        <f t="shared" si="14"/>
        <v>100</v>
      </c>
      <c r="X37" s="1894"/>
      <c r="Y37" s="3073"/>
      <c r="Z37" s="1896" t="str">
        <f t="shared" si="15"/>
        <v>成新度</v>
      </c>
      <c r="AA37" s="1897">
        <f t="shared" si="3"/>
        <v>1</v>
      </c>
      <c r="AB37" s="1897">
        <f t="shared" si="4"/>
        <v>1</v>
      </c>
      <c r="AC37" s="1897">
        <f t="shared" si="5"/>
        <v>1</v>
      </c>
    </row>
    <row r="38" spans="1:29" s="35" customFormat="1" ht="15">
      <c r="A38" s="454"/>
      <c r="B38" s="402"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8"/>
      <c r="Q38" s="1881" t="str">
        <f t="shared" si="11"/>
        <v>写字楼等级</v>
      </c>
      <c r="R38" s="748" t="s">
        <v>25</v>
      </c>
      <c r="S38" s="749">
        <f t="shared" si="12"/>
        <v>100</v>
      </c>
      <c r="T38" s="748" t="s">
        <v>25</v>
      </c>
      <c r="U38" s="749">
        <f t="shared" si="13"/>
        <v>100</v>
      </c>
      <c r="V38" s="748" t="s">
        <v>25</v>
      </c>
      <c r="W38" s="749">
        <f t="shared" si="14"/>
        <v>100</v>
      </c>
      <c r="X38" s="750"/>
      <c r="Y38" s="3073"/>
      <c r="Z38" s="23" t="str">
        <f t="shared" si="15"/>
        <v>写字楼等级</v>
      </c>
      <c r="AA38" s="751">
        <f t="shared" si="3"/>
        <v>1</v>
      </c>
      <c r="AB38" s="751">
        <f t="shared" si="4"/>
        <v>1</v>
      </c>
      <c r="AC38" s="751">
        <f t="shared" si="5"/>
        <v>1</v>
      </c>
    </row>
    <row r="39" spans="1:29" ht="15">
      <c r="A39" s="453"/>
      <c r="B39" s="402"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8" t="s">
        <v>2360</v>
      </c>
      <c r="Q39" s="1893" t="str">
        <f t="shared" si="11"/>
        <v>物业管理</v>
      </c>
      <c r="R39" s="752" t="s">
        <v>25</v>
      </c>
      <c r="S39" s="753">
        <f t="shared" si="12"/>
        <v>100</v>
      </c>
      <c r="T39" s="752" t="s">
        <v>25</v>
      </c>
      <c r="U39" s="753">
        <f t="shared" si="13"/>
        <v>100</v>
      </c>
      <c r="V39" s="752" t="s">
        <v>25</v>
      </c>
      <c r="W39" s="753">
        <f t="shared" si="14"/>
        <v>100</v>
      </c>
      <c r="X39" s="1894"/>
      <c r="Y39" s="3073" t="s">
        <v>2360</v>
      </c>
      <c r="Z39" s="1896" t="str">
        <f t="shared" si="15"/>
        <v>物业管理</v>
      </c>
      <c r="AA39" s="1897">
        <f t="shared" si="3"/>
        <v>1</v>
      </c>
      <c r="AB39" s="1897">
        <f t="shared" si="4"/>
        <v>1</v>
      </c>
      <c r="AC39" s="1897">
        <f t="shared" si="5"/>
        <v>1</v>
      </c>
    </row>
    <row r="40" spans="1:29" ht="15">
      <c r="A40" s="453"/>
      <c r="B40" s="402"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8"/>
      <c r="Q40" s="1893" t="str">
        <f t="shared" si="11"/>
        <v>市政基础设施</v>
      </c>
      <c r="R40" s="752" t="s">
        <v>25</v>
      </c>
      <c r="S40" s="753">
        <f t="shared" si="12"/>
        <v>100</v>
      </c>
      <c r="T40" s="752" t="s">
        <v>25</v>
      </c>
      <c r="U40" s="753">
        <f t="shared" si="13"/>
        <v>100</v>
      </c>
      <c r="V40" s="752" t="s">
        <v>25</v>
      </c>
      <c r="W40" s="753">
        <f t="shared" si="14"/>
        <v>100</v>
      </c>
      <c r="X40" s="1894"/>
      <c r="Y40" s="3073"/>
      <c r="Z40" s="1896" t="str">
        <f t="shared" si="15"/>
        <v>市政基础设施</v>
      </c>
      <c r="AA40" s="1897">
        <f t="shared" si="3"/>
        <v>1</v>
      </c>
      <c r="AB40" s="1897">
        <f t="shared" si="4"/>
        <v>1</v>
      </c>
      <c r="AC40" s="1897">
        <f t="shared" si="5"/>
        <v>1</v>
      </c>
    </row>
    <row r="41" spans="1:29" ht="15">
      <c r="A41" s="453"/>
      <c r="B41" s="402"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8"/>
      <c r="Q41" s="1893" t="str">
        <f t="shared" si="11"/>
        <v>层高</v>
      </c>
      <c r="R41" s="752" t="s">
        <v>25</v>
      </c>
      <c r="S41" s="753">
        <f t="shared" si="12"/>
        <v>100</v>
      </c>
      <c r="T41" s="752" t="s">
        <v>25</v>
      </c>
      <c r="U41" s="753">
        <f t="shared" si="13"/>
        <v>100</v>
      </c>
      <c r="V41" s="752" t="s">
        <v>25</v>
      </c>
      <c r="W41" s="753">
        <f t="shared" si="14"/>
        <v>100</v>
      </c>
      <c r="X41" s="1894"/>
      <c r="Y41" s="3073"/>
      <c r="Z41" s="1896" t="str">
        <f t="shared" si="15"/>
        <v>层高</v>
      </c>
      <c r="AA41" s="1897">
        <f t="shared" si="3"/>
        <v>1</v>
      </c>
      <c r="AB41" s="1897">
        <f t="shared" si="4"/>
        <v>1</v>
      </c>
      <c r="AC41" s="1897">
        <f t="shared" si="5"/>
        <v>1</v>
      </c>
    </row>
    <row r="42" spans="1:29" s="452" customFormat="1" ht="15" hidden="1">
      <c r="A42" s="449"/>
      <c r="B42" s="1898" t="s">
        <v>2477</v>
      </c>
      <c r="C42" s="414">
        <f>'数据-取费表'!E5</f>
        <v>0</v>
      </c>
      <c r="D42" s="415">
        <v>100</v>
      </c>
      <c r="E42" s="414">
        <f>E34</f>
        <v>188.15</v>
      </c>
      <c r="F42" s="442">
        <f>SUMIF(121:121,E42,122:122)-SUMIF(121:121,C42,122:122)+100</f>
        <v>2</v>
      </c>
      <c r="G42" s="414">
        <f>G34</f>
        <v>178.87</v>
      </c>
      <c r="H42" s="415">
        <f>SUMIF(121:121,G42,122:122)-SUMIF(121:121,C42,122:122)+100</f>
        <v>2</v>
      </c>
      <c r="I42" s="414">
        <f>I34</f>
        <v>138.41999999999999</v>
      </c>
      <c r="J42" s="415">
        <f>SUMIF(121:121,I42,122:122)-SUMIF(121:121,C42,122:122)+100</f>
        <v>2</v>
      </c>
      <c r="K42" s="597"/>
      <c r="L42" s="1246"/>
      <c r="M42" s="1249"/>
      <c r="N42" s="1249"/>
      <c r="O42" s="1249"/>
      <c r="P42" s="3098"/>
      <c r="Q42" s="754" t="str">
        <f t="shared" si="11"/>
        <v>单套建筑面积</v>
      </c>
      <c r="R42" s="755" t="s">
        <v>25</v>
      </c>
      <c r="S42" s="756">
        <f t="shared" si="12"/>
        <v>2</v>
      </c>
      <c r="T42" s="755" t="s">
        <v>25</v>
      </c>
      <c r="U42" s="756">
        <f t="shared" si="13"/>
        <v>2</v>
      </c>
      <c r="V42" s="755" t="s">
        <v>25</v>
      </c>
      <c r="W42" s="756">
        <f t="shared" si="14"/>
        <v>2</v>
      </c>
      <c r="X42" s="757"/>
      <c r="Y42" s="3073"/>
      <c r="Z42" s="758" t="str">
        <f t="shared" si="15"/>
        <v>单套建筑面积</v>
      </c>
      <c r="AA42" s="1897">
        <f t="shared" si="3"/>
        <v>50</v>
      </c>
      <c r="AB42" s="1897">
        <f t="shared" si="4"/>
        <v>50</v>
      </c>
      <c r="AC42" s="1897">
        <f t="shared" si="5"/>
        <v>50</v>
      </c>
    </row>
    <row r="43" spans="1:29" ht="15">
      <c r="A43" s="453"/>
      <c r="B43" s="402" t="s">
        <v>2454</v>
      </c>
      <c r="C43" s="441" t="s">
        <v>2899</v>
      </c>
      <c r="D43" s="415">
        <v>100</v>
      </c>
      <c r="E43" s="441" t="s">
        <v>2900</v>
      </c>
      <c r="F43" s="442">
        <f>SUMIF(123:123,E43,124:124)-SUMIF(123:123,C43,124:124)+100</f>
        <v>97</v>
      </c>
      <c r="G43" s="441" t="s">
        <v>2900</v>
      </c>
      <c r="H43" s="415">
        <f>SUMIF(123:123,G43,124:124)-SUMIF(123:123,C43,124:124)+100</f>
        <v>97</v>
      </c>
      <c r="I43" s="441" t="s">
        <v>2899</v>
      </c>
      <c r="J43" s="415">
        <f>SUMIF(123:123,I43,124:124)-SUMIF(123:123,C43,124:124)+100</f>
        <v>100</v>
      </c>
      <c r="K43" s="596">
        <v>3</v>
      </c>
      <c r="L43" s="1248"/>
      <c r="M43" s="1239"/>
      <c r="N43" s="1239"/>
      <c r="O43" s="1239"/>
      <c r="P43" s="3098"/>
      <c r="Q43" s="1893" t="str">
        <f t="shared" si="11"/>
        <v>内部装修</v>
      </c>
      <c r="R43" s="752" t="s">
        <v>25</v>
      </c>
      <c r="S43" s="753">
        <f t="shared" si="12"/>
        <v>97</v>
      </c>
      <c r="T43" s="752" t="s">
        <v>25</v>
      </c>
      <c r="U43" s="753">
        <f t="shared" si="13"/>
        <v>97</v>
      </c>
      <c r="V43" s="752" t="s">
        <v>25</v>
      </c>
      <c r="W43" s="753">
        <f t="shared" si="14"/>
        <v>100</v>
      </c>
      <c r="X43" s="1894"/>
      <c r="Y43" s="3073"/>
      <c r="Z43" s="1896" t="str">
        <f t="shared" si="15"/>
        <v>内部装修</v>
      </c>
      <c r="AA43" s="1897">
        <f t="shared" si="3"/>
        <v>1.0309278350515463</v>
      </c>
      <c r="AB43" s="1897">
        <f t="shared" si="4"/>
        <v>1.0309278350515463</v>
      </c>
      <c r="AC43" s="1897">
        <f t="shared" si="5"/>
        <v>1</v>
      </c>
    </row>
    <row r="44" spans="1:29" ht="15.75" thickBot="1">
      <c r="A44" s="453"/>
      <c r="B44" s="402"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8"/>
      <c r="Q44" s="1893" t="str">
        <f t="shared" si="11"/>
        <v>内部装修维护情况</v>
      </c>
      <c r="R44" s="752" t="s">
        <v>25</v>
      </c>
      <c r="S44" s="753">
        <f t="shared" si="12"/>
        <v>100</v>
      </c>
      <c r="T44" s="752" t="s">
        <v>25</v>
      </c>
      <c r="U44" s="753">
        <f t="shared" si="13"/>
        <v>100</v>
      </c>
      <c r="V44" s="752" t="s">
        <v>25</v>
      </c>
      <c r="W44" s="753">
        <f t="shared" si="14"/>
        <v>100</v>
      </c>
      <c r="X44" s="1894"/>
      <c r="Y44" s="3073"/>
      <c r="Z44" s="1896" t="str">
        <f t="shared" si="15"/>
        <v>内部装修维护情况</v>
      </c>
      <c r="AA44" s="1897">
        <f t="shared" si="3"/>
        <v>1</v>
      </c>
      <c r="AB44" s="1897">
        <f t="shared" si="4"/>
        <v>1</v>
      </c>
      <c r="AC44" s="1897">
        <f t="shared" si="5"/>
        <v>1</v>
      </c>
    </row>
    <row r="45" spans="1:29" s="35" customFormat="1" ht="15" hidden="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8"/>
      <c r="Q45" s="1881">
        <f t="shared" si="11"/>
        <v>111</v>
      </c>
      <c r="R45" s="748" t="s">
        <v>25</v>
      </c>
      <c r="S45" s="749">
        <f t="shared" si="12"/>
        <v>100</v>
      </c>
      <c r="T45" s="748" t="s">
        <v>25</v>
      </c>
      <c r="U45" s="749">
        <f t="shared" si="13"/>
        <v>100</v>
      </c>
      <c r="V45" s="748" t="s">
        <v>25</v>
      </c>
      <c r="W45" s="749">
        <f t="shared" si="14"/>
        <v>100</v>
      </c>
      <c r="X45" s="750"/>
      <c r="Y45" s="3073"/>
      <c r="Z45" s="23">
        <f t="shared" si="15"/>
        <v>111</v>
      </c>
      <c r="AA45" s="751">
        <f t="shared" si="3"/>
        <v>1</v>
      </c>
      <c r="AB45" s="751">
        <f t="shared" si="4"/>
        <v>1</v>
      </c>
      <c r="AC45" s="751">
        <f t="shared" si="5"/>
        <v>1</v>
      </c>
    </row>
    <row r="46" spans="1:29" ht="15" hidden="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8"/>
      <c r="Q46" s="1893">
        <f t="shared" si="11"/>
        <v>111</v>
      </c>
      <c r="R46" s="752" t="s">
        <v>25</v>
      </c>
      <c r="S46" s="753">
        <f t="shared" si="12"/>
        <v>100</v>
      </c>
      <c r="T46" s="752" t="s">
        <v>25</v>
      </c>
      <c r="U46" s="753">
        <f t="shared" si="13"/>
        <v>100</v>
      </c>
      <c r="V46" s="752" t="s">
        <v>25</v>
      </c>
      <c r="W46" s="753">
        <f t="shared" si="14"/>
        <v>100</v>
      </c>
      <c r="X46" s="1894"/>
      <c r="Y46" s="3073"/>
      <c r="Z46" s="1896">
        <f t="shared" si="15"/>
        <v>111</v>
      </c>
      <c r="AA46" s="1897">
        <f t="shared" si="3"/>
        <v>1</v>
      </c>
      <c r="AB46" s="1897">
        <f t="shared" si="4"/>
        <v>1</v>
      </c>
      <c r="AC46" s="1897">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9"/>
      <c r="Q47" s="1893">
        <f t="shared" si="11"/>
        <v>111</v>
      </c>
      <c r="R47" s="752" t="s">
        <v>25</v>
      </c>
      <c r="S47" s="753">
        <f t="shared" si="12"/>
        <v>100</v>
      </c>
      <c r="T47" s="752" t="s">
        <v>25</v>
      </c>
      <c r="U47" s="753">
        <f t="shared" si="13"/>
        <v>100</v>
      </c>
      <c r="V47" s="752" t="s">
        <v>25</v>
      </c>
      <c r="W47" s="753">
        <f t="shared" si="14"/>
        <v>100</v>
      </c>
      <c r="X47" s="1894"/>
      <c r="Y47" s="3074"/>
      <c r="Z47" s="1896">
        <f t="shared" si="15"/>
        <v>111</v>
      </c>
      <c r="AA47" s="1897">
        <f t="shared" si="3"/>
        <v>1</v>
      </c>
      <c r="AB47" s="1897">
        <f t="shared" si="4"/>
        <v>1</v>
      </c>
      <c r="AC47" s="1897">
        <f t="shared" si="5"/>
        <v>1</v>
      </c>
    </row>
    <row r="48" spans="1:29" ht="15">
      <c r="A48" s="460" t="s">
        <v>2372</v>
      </c>
      <c r="B48" s="461"/>
      <c r="C48" s="1497" t="s">
        <v>1</v>
      </c>
      <c r="D48" s="1498"/>
      <c r="E48" s="1499">
        <v>42000</v>
      </c>
      <c r="F48" s="1500"/>
      <c r="G48" s="1501">
        <v>44000</v>
      </c>
      <c r="H48" s="1502"/>
      <c r="I48" s="1499">
        <v>48000</v>
      </c>
      <c r="J48" s="1502"/>
      <c r="K48" s="761"/>
      <c r="L48" s="1251"/>
      <c r="M48" s="1239"/>
      <c r="N48" s="1239"/>
      <c r="O48" s="1239"/>
      <c r="P48" s="3086" t="str">
        <f>A48</f>
        <v>成交单价（元/平方米）</v>
      </c>
      <c r="Q48" s="3079"/>
      <c r="R48" s="3080">
        <f>E48</f>
        <v>42000</v>
      </c>
      <c r="S48" s="3080"/>
      <c r="T48" s="3080">
        <f>G48</f>
        <v>44000</v>
      </c>
      <c r="U48" s="3080"/>
      <c r="V48" s="3080">
        <f>I48</f>
        <v>48000</v>
      </c>
      <c r="W48" s="3080"/>
      <c r="X48" s="737"/>
      <c r="Y48" s="759"/>
      <c r="Z48" s="737"/>
      <c r="AA48" s="737"/>
      <c r="AB48" s="737"/>
      <c r="AC48" s="737"/>
    </row>
    <row r="49" spans="1:29" ht="15.75" thickBot="1">
      <c r="A49" s="467" t="s">
        <v>2455</v>
      </c>
      <c r="B49" s="468"/>
      <c r="C49" s="1503">
        <f>R50</f>
        <v>2240341</v>
      </c>
      <c r="D49" s="1504"/>
      <c r="E49" s="1505">
        <f>R49</f>
        <v>2122498</v>
      </c>
      <c r="F49" s="1505"/>
      <c r="G49" s="1503">
        <f>T49</f>
        <v>2245585</v>
      </c>
      <c r="H49" s="1504"/>
      <c r="I49" s="1505">
        <f>V49</f>
        <v>2352941</v>
      </c>
      <c r="J49" s="1504"/>
      <c r="K49" s="762"/>
      <c r="L49" s="1251"/>
      <c r="M49" s="1239"/>
      <c r="N49" s="1239"/>
      <c r="O49" s="1239"/>
      <c r="P49" s="3086" t="str">
        <f>A49</f>
        <v>比较价值（元/平方米）</v>
      </c>
      <c r="Q49" s="3079"/>
      <c r="R49" s="3080">
        <f>IF(E1="售价",ROUND(PRODUCT(R48,AA7:AA47),0),ROUND(PRODUCT(R48,AA7:AA47),1))</f>
        <v>2122498</v>
      </c>
      <c r="S49" s="3080"/>
      <c r="T49" s="3080">
        <f>IF(E1="售价",ROUND(PRODUCT(T48,AB7:AB47),0),ROUND(PRODUCT(T48,AB7:AB47),1))</f>
        <v>2245585</v>
      </c>
      <c r="U49" s="3080"/>
      <c r="V49" s="3080">
        <f>IF(E1="售价",ROUND(PRODUCT(V48,AC7:AC47),0),ROUND(PRODUCT(V48,AC7:AC47),1))</f>
        <v>2352941</v>
      </c>
      <c r="W49" s="3080"/>
      <c r="X49" s="737"/>
      <c r="Y49" s="737"/>
      <c r="Z49" s="737"/>
      <c r="AA49" s="737"/>
      <c r="AB49" s="737"/>
      <c r="AC49" s="737"/>
    </row>
    <row r="50" spans="1:29" ht="15.75" thickBot="1">
      <c r="A50" s="473" t="s">
        <v>2478</v>
      </c>
      <c r="B50" s="474"/>
      <c r="C50" s="1507">
        <f>R50</f>
        <v>2240341</v>
      </c>
      <c r="D50" s="1507"/>
      <c r="E50" s="1507"/>
      <c r="F50" s="1507"/>
      <c r="G50" s="1507"/>
      <c r="H50" s="1507"/>
      <c r="I50" s="1507"/>
      <c r="J50" s="1507"/>
      <c r="K50" s="763"/>
      <c r="L50" s="1251"/>
      <c r="M50" s="1239"/>
      <c r="N50" s="1239"/>
      <c r="O50" s="1239"/>
      <c r="P50" s="3100" t="str">
        <f>A50</f>
        <v>估价对象XX用房的比较价值（楼面单价，元/平方米）</v>
      </c>
      <c r="Q50" s="3086"/>
      <c r="R50" s="3087">
        <f>IF(E1="售价",ROUND(AVERAGE(R49:V49),0),ROUND(AVERAGE(R49:V49),1))</f>
        <v>2240341</v>
      </c>
      <c r="S50" s="3087"/>
      <c r="T50" s="3087"/>
      <c r="U50" s="3087"/>
      <c r="V50" s="3087"/>
      <c r="W50" s="3087"/>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2457</v>
      </c>
      <c r="D53" s="479"/>
      <c r="E53" s="480">
        <f>IF(E48&lt;E49,E49/E48-1,E48/E49-1)</f>
        <v>49.535666666666664</v>
      </c>
      <c r="F53" s="481" t="str">
        <f>IF(OR(E53&gt;=0.3,E53&lt;=-0.3),"超过30%","")</f>
        <v>超过30%</v>
      </c>
      <c r="G53" s="480">
        <f>IF(G48&lt;G49,G49/G48-1,G48/G49-1)</f>
        <v>50.03602272727273</v>
      </c>
      <c r="H53" s="481" t="str">
        <f>IF(OR(G53&gt;=0.3,G53&lt;=-0.3),"超过30%","")</f>
        <v>超过30%</v>
      </c>
      <c r="I53" s="480">
        <f>IF(I48&lt;I49,I49/I48-1,I48/I49-1)</f>
        <v>48.019604166666667</v>
      </c>
      <c r="J53" s="481" t="str">
        <f>IF(OR(I53&gt;=0.3,I53&lt;=-0.3),"超过30%","")</f>
        <v>超过30%</v>
      </c>
      <c r="K53" s="1257"/>
      <c r="L53" s="1253"/>
      <c r="M53" s="1252"/>
      <c r="N53" s="1252"/>
      <c r="O53" s="1252"/>
    </row>
    <row r="54" spans="1:29" ht="13.5" customHeight="1">
      <c r="A54" s="1252"/>
      <c r="B54" s="1252"/>
      <c r="C54" s="478" t="s">
        <v>2458</v>
      </c>
      <c r="D54" s="482"/>
      <c r="E54" s="480">
        <f>IF(E49&lt;G49,G49/E49-1,E49/G49-1)</f>
        <v>5.7991574079221841E-2</v>
      </c>
      <c r="F54" s="481" t="str">
        <f>IF(OR(E54&gt;=0.2,E54&lt;=-0.2),"超过20%","")</f>
        <v/>
      </c>
      <c r="G54" s="480">
        <f>IF(G49&lt;I49,I49/G49-1,G49/I49-1)</f>
        <v>4.7807586887158582E-2</v>
      </c>
      <c r="H54" s="481" t="str">
        <f>IF(OR(G54&gt;=0.2,G54&lt;=-0.2),"超过20%","")</f>
        <v/>
      </c>
      <c r="I54" s="480">
        <f>IF(I49&lt;E49,E49/I49-1,I49/E49-1)</f>
        <v>0.10857159818289586</v>
      </c>
      <c r="J54" s="481" t="str">
        <f>IF(OR(I54&gt;=0.2,I54&lt;=-0.2),"超过20%","")</f>
        <v/>
      </c>
      <c r="K54" s="1257"/>
      <c r="L54" s="1253"/>
      <c r="M54" s="1252"/>
      <c r="N54" s="1252"/>
      <c r="O54" s="1252"/>
    </row>
    <row r="55" spans="1:29" s="483" customFormat="1" ht="13.5" customHeight="1">
      <c r="A55" s="1254"/>
      <c r="B55" s="1254"/>
      <c r="C55" s="478" t="s">
        <v>2459</v>
      </c>
      <c r="D55" s="482"/>
      <c r="E55" s="480">
        <f>IF(E48&lt;G48,G48/E48-1,E48/G48-1)</f>
        <v>4.7619047619047672E-2</v>
      </c>
      <c r="F55" s="481" t="str">
        <f>IF(OR(E55&gt;=0.3,E55&lt;=-0.3),"超过30%","")</f>
        <v/>
      </c>
      <c r="G55" s="480">
        <f>IF(G48&lt;I48,I48/G48-1,G48/I48-1)</f>
        <v>9.0909090909090828E-2</v>
      </c>
      <c r="H55" s="481" t="str">
        <f>IF(OR(G55&gt;=0.3,G55&lt;=-0.3),"超过30%","")</f>
        <v/>
      </c>
      <c r="I55" s="480">
        <f>IF(I48&lt;E48,E48/I48-1,I48/E48-1)</f>
        <v>0.14285714285714279</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2460</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2484</v>
      </c>
      <c r="C1" s="1721"/>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1998</v>
      </c>
      <c r="B3" s="593" t="e">
        <f ca="1">ROUND(IF(D2="——",C43,IF(C2="万元",B2*10000/D3,B2/D3)),0)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75" t="s">
        <v>2346</v>
      </c>
      <c r="Q8" s="3076"/>
      <c r="R8" s="748" t="s">
        <v>25</v>
      </c>
      <c r="S8" s="749">
        <f t="shared" si="0"/>
        <v>100</v>
      </c>
      <c r="T8" s="748" t="s">
        <v>25</v>
      </c>
      <c r="U8" s="749">
        <f t="shared" si="1"/>
        <v>100</v>
      </c>
      <c r="V8" s="748" t="s">
        <v>25</v>
      </c>
      <c r="W8" s="749">
        <f t="shared" si="2"/>
        <v>100</v>
      </c>
      <c r="X8" s="750"/>
      <c r="Y8" s="3075" t="s">
        <v>2346</v>
      </c>
      <c r="Z8" s="3076"/>
      <c r="AA8" s="751">
        <f t="shared" ref="AA8:AA40" si="3">D8/F8</f>
        <v>1</v>
      </c>
      <c r="AB8" s="751">
        <f t="shared" ref="AB8:AB40" si="4">D8/H8</f>
        <v>1</v>
      </c>
      <c r="AC8" s="751">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79"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79"/>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79"/>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40"/>
      <c r="M12" s="1241"/>
      <c r="N12" s="1241"/>
      <c r="O12" s="1242"/>
      <c r="P12" s="3079"/>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8"/>
      <c r="M13" s="1239"/>
      <c r="N13" s="1239"/>
      <c r="O13" s="1247"/>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8"/>
      <c r="M14" s="1239"/>
      <c r="N14" s="1239"/>
      <c r="O14" s="1247"/>
      <c r="P14" s="3079"/>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2353</v>
      </c>
      <c r="B15" s="26" t="s">
        <v>2485</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68" t="s">
        <v>2354</v>
      </c>
      <c r="Q15" s="1893" t="str">
        <f t="shared" si="6"/>
        <v>产业集聚程度</v>
      </c>
      <c r="R15" s="752" t="s">
        <v>25</v>
      </c>
      <c r="S15" s="753">
        <f t="shared" si="0"/>
        <v>100</v>
      </c>
      <c r="T15" s="752" t="s">
        <v>25</v>
      </c>
      <c r="U15" s="753">
        <f t="shared" si="1"/>
        <v>100</v>
      </c>
      <c r="V15" s="752" t="s">
        <v>25</v>
      </c>
      <c r="W15" s="753">
        <f t="shared" si="2"/>
        <v>100</v>
      </c>
      <c r="X15" s="1894"/>
      <c r="Y15" s="3068" t="s">
        <v>2354</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69"/>
      <c r="Q16" s="1893"/>
      <c r="R16" s="752"/>
      <c r="S16" s="753"/>
      <c r="T16" s="752"/>
      <c r="U16" s="753"/>
      <c r="V16" s="752"/>
      <c r="W16" s="753"/>
      <c r="X16" s="1894"/>
      <c r="Y16" s="3069"/>
      <c r="Z16" s="1896"/>
      <c r="AA16" s="1897">
        <v>1</v>
      </c>
      <c r="AB16" s="1897">
        <v>1</v>
      </c>
      <c r="AC16" s="1897">
        <v>1</v>
      </c>
    </row>
    <row r="17" spans="1:29" ht="85.5">
      <c r="A17" s="408"/>
      <c r="B17" s="431" t="s">
        <v>1740</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69"/>
      <c r="Q17" s="1893" t="str">
        <f>B17</f>
        <v>交通便捷度</v>
      </c>
      <c r="R17" s="752" t="s">
        <v>25</v>
      </c>
      <c r="S17" s="753">
        <f>F17</f>
        <v>100</v>
      </c>
      <c r="T17" s="752" t="s">
        <v>25</v>
      </c>
      <c r="U17" s="753">
        <f>H17</f>
        <v>100</v>
      </c>
      <c r="V17" s="752" t="s">
        <v>25</v>
      </c>
      <c r="W17" s="753">
        <f>J17</f>
        <v>100</v>
      </c>
      <c r="X17" s="1894"/>
      <c r="Y17" s="3069"/>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47"/>
      <c r="P18" s="3069"/>
      <c r="Q18" s="1893"/>
      <c r="R18" s="752"/>
      <c r="S18" s="753"/>
      <c r="T18" s="752"/>
      <c r="U18" s="753"/>
      <c r="V18" s="752"/>
      <c r="W18" s="753"/>
      <c r="X18" s="1894"/>
      <c r="Y18" s="3069"/>
      <c r="Z18" s="1896"/>
      <c r="AA18" s="1897">
        <v>1</v>
      </c>
      <c r="AB18" s="1897">
        <v>1</v>
      </c>
      <c r="AC18" s="1897">
        <v>1</v>
      </c>
    </row>
    <row r="19" spans="1:29" ht="42.75">
      <c r="A19" s="408"/>
      <c r="B19" s="615" t="s">
        <v>2469</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69"/>
      <c r="Q19" s="1893" t="str">
        <f>B19</f>
        <v>公共配套设施</v>
      </c>
      <c r="R19" s="752" t="s">
        <v>25</v>
      </c>
      <c r="S19" s="753">
        <f>F19</f>
        <v>100</v>
      </c>
      <c r="T19" s="752" t="s">
        <v>25</v>
      </c>
      <c r="U19" s="753">
        <f>H19</f>
        <v>100</v>
      </c>
      <c r="V19" s="752" t="s">
        <v>25</v>
      </c>
      <c r="W19" s="753">
        <f>J19</f>
        <v>100</v>
      </c>
      <c r="X19" s="1894"/>
      <c r="Y19" s="3069"/>
      <c r="Z19" s="1896" t="str">
        <f>Q19</f>
        <v>公共配套设施</v>
      </c>
      <c r="AA19" s="1897">
        <f t="shared" si="3"/>
        <v>1</v>
      </c>
      <c r="AB19" s="1897">
        <f t="shared" si="4"/>
        <v>1</v>
      </c>
      <c r="AC19" s="1897">
        <f t="shared" si="5"/>
        <v>1</v>
      </c>
    </row>
    <row r="20" spans="1:29" ht="15">
      <c r="A20" s="408"/>
      <c r="B20" s="616"/>
      <c r="C20" s="426"/>
      <c r="D20" s="427"/>
      <c r="E20" s="428"/>
      <c r="F20" s="429"/>
      <c r="G20" s="2395"/>
      <c r="H20" s="427"/>
      <c r="I20" s="428"/>
      <c r="J20" s="427"/>
      <c r="K20" s="599"/>
      <c r="L20" s="1248"/>
      <c r="M20" s="1239"/>
      <c r="N20" s="1239"/>
      <c r="O20" s="1247"/>
      <c r="P20" s="3069"/>
      <c r="Q20" s="1893"/>
      <c r="R20" s="752"/>
      <c r="S20" s="753"/>
      <c r="T20" s="752"/>
      <c r="U20" s="753"/>
      <c r="V20" s="752"/>
      <c r="W20" s="753"/>
      <c r="X20" s="1894"/>
      <c r="Y20" s="3069"/>
      <c r="Z20" s="1896"/>
      <c r="AA20" s="1897">
        <v>1</v>
      </c>
      <c r="AB20" s="1897">
        <v>1</v>
      </c>
      <c r="AC20" s="1897">
        <v>1</v>
      </c>
    </row>
    <row r="21" spans="1:29" ht="28.5">
      <c r="A21" s="408"/>
      <c r="B21" s="617" t="s">
        <v>2470</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69"/>
      <c r="Q21" s="1893" t="str">
        <f>B21</f>
        <v>基础设施水平</v>
      </c>
      <c r="R21" s="752" t="s">
        <v>25</v>
      </c>
      <c r="S21" s="753">
        <f>F21</f>
        <v>100</v>
      </c>
      <c r="T21" s="752" t="s">
        <v>25</v>
      </c>
      <c r="U21" s="753">
        <f>H21</f>
        <v>100</v>
      </c>
      <c r="V21" s="752" t="s">
        <v>25</v>
      </c>
      <c r="W21" s="753">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47"/>
      <c r="P22" s="3069"/>
      <c r="Q22" s="1893"/>
      <c r="R22" s="752"/>
      <c r="S22" s="753"/>
      <c r="T22" s="752"/>
      <c r="U22" s="753"/>
      <c r="V22" s="752"/>
      <c r="W22" s="753"/>
      <c r="X22" s="1894"/>
      <c r="Y22" s="3069"/>
      <c r="Z22" s="1896"/>
      <c r="AA22" s="1897">
        <v>1</v>
      </c>
      <c r="AB22" s="1897">
        <v>1</v>
      </c>
      <c r="AC22" s="1897">
        <v>1</v>
      </c>
    </row>
    <row r="23" spans="1:29" ht="71.25">
      <c r="A23" s="408"/>
      <c r="B23" s="431" t="s">
        <v>2471</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69"/>
      <c r="Q23" s="1893" t="str">
        <f>B23</f>
        <v>环境质量</v>
      </c>
      <c r="R23" s="752" t="s">
        <v>25</v>
      </c>
      <c r="S23" s="753">
        <f>F23</f>
        <v>100</v>
      </c>
      <c r="T23" s="752" t="s">
        <v>25</v>
      </c>
      <c r="U23" s="753">
        <f>H23</f>
        <v>100</v>
      </c>
      <c r="V23" s="752" t="s">
        <v>25</v>
      </c>
      <c r="W23" s="753">
        <f>J23</f>
        <v>100</v>
      </c>
      <c r="X23" s="1894"/>
      <c r="Y23" s="3069"/>
      <c r="Z23" s="1896" t="str">
        <f>Q23</f>
        <v>环境质量</v>
      </c>
      <c r="AA23" s="1897">
        <f t="shared" si="3"/>
        <v>1</v>
      </c>
      <c r="AB23" s="1897">
        <f t="shared" si="4"/>
        <v>1</v>
      </c>
      <c r="AC23" s="1897">
        <f t="shared" si="5"/>
        <v>1</v>
      </c>
    </row>
    <row r="24" spans="1:29" ht="15">
      <c r="A24" s="408"/>
      <c r="B24" s="2399"/>
      <c r="C24" s="426"/>
      <c r="D24" s="427"/>
      <c r="E24" s="428"/>
      <c r="F24" s="429"/>
      <c r="G24" s="2395"/>
      <c r="H24" s="427"/>
      <c r="I24" s="428"/>
      <c r="J24" s="427"/>
      <c r="K24" s="599"/>
      <c r="L24" s="1248"/>
      <c r="M24" s="1239"/>
      <c r="N24" s="1239"/>
      <c r="O24" s="1247"/>
      <c r="P24" s="3069"/>
      <c r="Q24" s="1893"/>
      <c r="R24" s="752"/>
      <c r="S24" s="753"/>
      <c r="T24" s="752"/>
      <c r="U24" s="753"/>
      <c r="V24" s="752"/>
      <c r="W24" s="753"/>
      <c r="X24" s="1894"/>
      <c r="Y24" s="3069"/>
      <c r="Z24" s="1896"/>
      <c r="AA24" s="1897">
        <v>1</v>
      </c>
      <c r="AB24" s="1897">
        <v>1</v>
      </c>
      <c r="AC24" s="1897">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69"/>
      <c r="Q25" s="1893">
        <f>B25</f>
        <v>111</v>
      </c>
      <c r="R25" s="752" t="s">
        <v>25</v>
      </c>
      <c r="S25" s="753">
        <f>F25</f>
        <v>100</v>
      </c>
      <c r="T25" s="752" t="s">
        <v>25</v>
      </c>
      <c r="U25" s="753">
        <f>H25</f>
        <v>100</v>
      </c>
      <c r="V25" s="752" t="s">
        <v>25</v>
      </c>
      <c r="W25" s="753">
        <f>J25</f>
        <v>100</v>
      </c>
      <c r="X25" s="1894"/>
      <c r="Y25" s="3069"/>
      <c r="Z25" s="1896">
        <f>Q25</f>
        <v>111</v>
      </c>
      <c r="AA25" s="1897">
        <f t="shared" si="3"/>
        <v>1</v>
      </c>
      <c r="AB25" s="1897">
        <f t="shared" si="4"/>
        <v>1</v>
      </c>
      <c r="AC25" s="1897">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69"/>
      <c r="Q26" s="1893">
        <f t="shared" ref="Q26:Q40" si="11">B26</f>
        <v>111</v>
      </c>
      <c r="R26" s="752" t="s">
        <v>25</v>
      </c>
      <c r="S26" s="753">
        <f>F26</f>
        <v>100</v>
      </c>
      <c r="T26" s="752" t="s">
        <v>25</v>
      </c>
      <c r="U26" s="753">
        <f>H26</f>
        <v>100</v>
      </c>
      <c r="V26" s="752" t="s">
        <v>25</v>
      </c>
      <c r="W26" s="753">
        <f>J26</f>
        <v>100</v>
      </c>
      <c r="X26" s="1894"/>
      <c r="Y26" s="3069"/>
      <c r="Z26" s="1896">
        <f>Q26</f>
        <v>111</v>
      </c>
      <c r="AA26" s="1897">
        <f t="shared" si="3"/>
        <v>1</v>
      </c>
      <c r="AB26" s="1897">
        <f t="shared" si="4"/>
        <v>1</v>
      </c>
      <c r="AC26" s="1897">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69"/>
      <c r="Q27" s="1881">
        <f t="shared" si="11"/>
        <v>111</v>
      </c>
      <c r="R27" s="748" t="s">
        <v>25</v>
      </c>
      <c r="S27" s="749">
        <f>F27</f>
        <v>100</v>
      </c>
      <c r="T27" s="748" t="s">
        <v>25</v>
      </c>
      <c r="U27" s="749">
        <f>H27</f>
        <v>100</v>
      </c>
      <c r="V27" s="748" t="s">
        <v>25</v>
      </c>
      <c r="W27" s="749">
        <f>J27</f>
        <v>100</v>
      </c>
      <c r="X27" s="750"/>
      <c r="Y27" s="3069"/>
      <c r="Z27" s="23">
        <f>Q27</f>
        <v>111</v>
      </c>
      <c r="AA27" s="1897">
        <f>D27/F27</f>
        <v>1</v>
      </c>
      <c r="AB27" s="1897">
        <f>D27/H27</f>
        <v>1</v>
      </c>
      <c r="AC27" s="1897">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69"/>
      <c r="Q28" s="1893">
        <f t="shared" si="11"/>
        <v>111</v>
      </c>
      <c r="R28" s="752" t="s">
        <v>25</v>
      </c>
      <c r="S28" s="753">
        <f t="shared" ref="S28:S40" si="12">F28</f>
        <v>100</v>
      </c>
      <c r="T28" s="752" t="s">
        <v>25</v>
      </c>
      <c r="U28" s="753">
        <f t="shared" ref="U28:U40" si="13">H28</f>
        <v>100</v>
      </c>
      <c r="V28" s="752" t="s">
        <v>25</v>
      </c>
      <c r="W28" s="753">
        <f t="shared" ref="W28:W40" si="14">J28</f>
        <v>100</v>
      </c>
      <c r="X28" s="1894"/>
      <c r="Y28" s="3069"/>
      <c r="Z28" s="1896">
        <f t="shared" ref="Z28:Z40" si="15">Q28</f>
        <v>111</v>
      </c>
      <c r="AA28" s="1897">
        <f t="shared" si="3"/>
        <v>1</v>
      </c>
      <c r="AB28" s="1897">
        <f t="shared" si="4"/>
        <v>1</v>
      </c>
      <c r="AC28" s="1897">
        <f t="shared" si="5"/>
        <v>1</v>
      </c>
    </row>
    <row r="29" spans="1:29" ht="28.5">
      <c r="A29" s="447" t="s">
        <v>2358</v>
      </c>
      <c r="B29" s="28" t="s">
        <v>2474</v>
      </c>
      <c r="C29" s="2464" t="s">
        <v>2486</v>
      </c>
      <c r="D29" s="448">
        <v>100</v>
      </c>
      <c r="E29" s="2464"/>
      <c r="F29" s="442">
        <f>SUMIF(88:88,E29,89:89)-SUMIF(88:88,C29,89:89)+100</f>
        <v>100</v>
      </c>
      <c r="G29" s="2464"/>
      <c r="H29" s="415">
        <f>SUMIF(88:88,G29,89:89)-SUMIF(88:88,C29,89:89)+100</f>
        <v>100</v>
      </c>
      <c r="I29" s="2464"/>
      <c r="J29" s="448">
        <f>SUMIF(88:88,I29,89:89)-SUMIF(88:88,C29,89:89)+100</f>
        <v>100</v>
      </c>
      <c r="K29" s="596"/>
      <c r="L29" s="1248"/>
      <c r="M29" s="1239"/>
      <c r="N29" s="1239"/>
      <c r="O29" s="1247"/>
      <c r="P29" s="3101" t="s">
        <v>2360</v>
      </c>
      <c r="Q29" s="1893" t="str">
        <f t="shared" si="11"/>
        <v>建筑类型</v>
      </c>
      <c r="R29" s="752" t="s">
        <v>25</v>
      </c>
      <c r="S29" s="753">
        <f t="shared" si="12"/>
        <v>100</v>
      </c>
      <c r="T29" s="752" t="s">
        <v>25</v>
      </c>
      <c r="U29" s="753">
        <f t="shared" si="13"/>
        <v>100</v>
      </c>
      <c r="V29" s="752" t="s">
        <v>25</v>
      </c>
      <c r="W29" s="753">
        <f t="shared" si="14"/>
        <v>100</v>
      </c>
      <c r="X29" s="1894"/>
      <c r="Y29" s="3073" t="s">
        <v>2360</v>
      </c>
      <c r="Z29" s="1896" t="str">
        <f t="shared" si="15"/>
        <v>建筑类型</v>
      </c>
      <c r="AA29" s="1897">
        <f t="shared" si="3"/>
        <v>1</v>
      </c>
      <c r="AB29" s="1897">
        <f t="shared" si="4"/>
        <v>1</v>
      </c>
      <c r="AC29" s="1897">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73"/>
      <c r="Q30" s="754" t="str">
        <f t="shared" si="11"/>
        <v>项目建筑规模</v>
      </c>
      <c r="R30" s="755" t="s">
        <v>25</v>
      </c>
      <c r="S30" s="756" t="e">
        <f t="shared" si="12"/>
        <v>#N/A</v>
      </c>
      <c r="T30" s="755" t="s">
        <v>25</v>
      </c>
      <c r="U30" s="756" t="e">
        <f t="shared" si="13"/>
        <v>#N/A</v>
      </c>
      <c r="V30" s="755" t="s">
        <v>25</v>
      </c>
      <c r="W30" s="756" t="e">
        <f t="shared" si="14"/>
        <v>#N/A</v>
      </c>
      <c r="X30" s="757"/>
      <c r="Y30" s="3073"/>
      <c r="Z30" s="758" t="str">
        <f t="shared" si="15"/>
        <v>项目建筑规模</v>
      </c>
      <c r="AA30" s="1897" t="e">
        <f t="shared" si="3"/>
        <v>#N/A</v>
      </c>
      <c r="AB30" s="1897" t="e">
        <f t="shared" si="4"/>
        <v>#N/A</v>
      </c>
      <c r="AC30" s="1897"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73"/>
      <c r="Q31" s="1893" t="str">
        <f t="shared" si="11"/>
        <v>建筑结构</v>
      </c>
      <c r="R31" s="752" t="s">
        <v>25</v>
      </c>
      <c r="S31" s="753">
        <f t="shared" si="12"/>
        <v>100</v>
      </c>
      <c r="T31" s="752" t="s">
        <v>25</v>
      </c>
      <c r="U31" s="753">
        <f t="shared" si="13"/>
        <v>100</v>
      </c>
      <c r="V31" s="752" t="s">
        <v>25</v>
      </c>
      <c r="W31" s="753">
        <f t="shared" si="14"/>
        <v>100</v>
      </c>
      <c r="X31" s="1894"/>
      <c r="Y31" s="3073"/>
      <c r="Z31" s="1896" t="str">
        <f t="shared" si="15"/>
        <v>建筑结构</v>
      </c>
      <c r="AA31" s="1897">
        <f t="shared" si="3"/>
        <v>1</v>
      </c>
      <c r="AB31" s="1897">
        <f t="shared" si="4"/>
        <v>1</v>
      </c>
      <c r="AC31" s="1897">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73"/>
      <c r="Q32" s="1893" t="str">
        <f t="shared" si="11"/>
        <v>公共部分装修</v>
      </c>
      <c r="R32" s="752" t="s">
        <v>25</v>
      </c>
      <c r="S32" s="753">
        <f t="shared" si="12"/>
        <v>100</v>
      </c>
      <c r="T32" s="752" t="s">
        <v>25</v>
      </c>
      <c r="U32" s="753">
        <f t="shared" si="13"/>
        <v>100</v>
      </c>
      <c r="V32" s="752" t="s">
        <v>25</v>
      </c>
      <c r="W32" s="753">
        <f t="shared" si="14"/>
        <v>100</v>
      </c>
      <c r="X32" s="1894"/>
      <c r="Y32" s="3073"/>
      <c r="Z32" s="1896" t="str">
        <f t="shared" si="15"/>
        <v>公共部分装修</v>
      </c>
      <c r="AA32" s="1897">
        <f t="shared" si="3"/>
        <v>1</v>
      </c>
      <c r="AB32" s="1897">
        <f t="shared" si="4"/>
        <v>1</v>
      </c>
      <c r="AC32" s="1897">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73"/>
      <c r="Q33" s="1893" t="str">
        <f t="shared" si="11"/>
        <v>成新度</v>
      </c>
      <c r="R33" s="752" t="s">
        <v>25</v>
      </c>
      <c r="S33" s="753" t="e">
        <f t="shared" si="12"/>
        <v>#N/A</v>
      </c>
      <c r="T33" s="752" t="s">
        <v>25</v>
      </c>
      <c r="U33" s="753" t="e">
        <f t="shared" si="13"/>
        <v>#N/A</v>
      </c>
      <c r="V33" s="752" t="s">
        <v>25</v>
      </c>
      <c r="W33" s="753" t="e">
        <f t="shared" si="14"/>
        <v>#N/A</v>
      </c>
      <c r="X33" s="1894"/>
      <c r="Y33" s="3073"/>
      <c r="Z33" s="1896" t="str">
        <f t="shared" si="15"/>
        <v>成新度</v>
      </c>
      <c r="AA33" s="1897" t="e">
        <f t="shared" si="3"/>
        <v>#N/A</v>
      </c>
      <c r="AB33" s="1897" t="e">
        <f t="shared" si="4"/>
        <v>#N/A</v>
      </c>
      <c r="AC33" s="1897"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73"/>
      <c r="Q34" s="1881" t="str">
        <f t="shared" si="11"/>
        <v>物业管理</v>
      </c>
      <c r="R34" s="748" t="s">
        <v>25</v>
      </c>
      <c r="S34" s="749">
        <f t="shared" si="12"/>
        <v>100</v>
      </c>
      <c r="T34" s="748" t="s">
        <v>25</v>
      </c>
      <c r="U34" s="749">
        <f t="shared" si="13"/>
        <v>100</v>
      </c>
      <c r="V34" s="748" t="s">
        <v>25</v>
      </c>
      <c r="W34" s="749">
        <f t="shared" si="14"/>
        <v>100</v>
      </c>
      <c r="X34" s="750"/>
      <c r="Y34" s="3073"/>
      <c r="Z34" s="23" t="str">
        <f t="shared" si="15"/>
        <v>物业管理</v>
      </c>
      <c r="AA34" s="751">
        <f t="shared" si="3"/>
        <v>1</v>
      </c>
      <c r="AB34" s="751">
        <f t="shared" si="4"/>
        <v>1</v>
      </c>
      <c r="AC34" s="751">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73" t="s">
        <v>2360</v>
      </c>
      <c r="Q35" s="1893" t="str">
        <f t="shared" si="11"/>
        <v>市政基础设施</v>
      </c>
      <c r="R35" s="752" t="s">
        <v>25</v>
      </c>
      <c r="S35" s="753">
        <f t="shared" si="12"/>
        <v>100</v>
      </c>
      <c r="T35" s="752" t="s">
        <v>25</v>
      </c>
      <c r="U35" s="753">
        <f t="shared" si="13"/>
        <v>100</v>
      </c>
      <c r="V35" s="752" t="s">
        <v>25</v>
      </c>
      <c r="W35" s="753">
        <f t="shared" si="14"/>
        <v>100</v>
      </c>
      <c r="X35" s="1894"/>
      <c r="Y35" s="3073" t="s">
        <v>2360</v>
      </c>
      <c r="Z35" s="1896" t="str">
        <f t="shared" si="15"/>
        <v>市政基础设施</v>
      </c>
      <c r="AA35" s="1897">
        <f t="shared" si="3"/>
        <v>1</v>
      </c>
      <c r="AB35" s="1897">
        <f t="shared" si="4"/>
        <v>1</v>
      </c>
      <c r="AC35" s="1897">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73"/>
      <c r="Q36" s="1893" t="str">
        <f t="shared" si="11"/>
        <v>内部装修</v>
      </c>
      <c r="R36" s="752" t="s">
        <v>25</v>
      </c>
      <c r="S36" s="753">
        <f t="shared" si="12"/>
        <v>100</v>
      </c>
      <c r="T36" s="752" t="s">
        <v>25</v>
      </c>
      <c r="U36" s="753">
        <f t="shared" si="13"/>
        <v>100</v>
      </c>
      <c r="V36" s="752" t="s">
        <v>25</v>
      </c>
      <c r="W36" s="753">
        <f t="shared" si="14"/>
        <v>100</v>
      </c>
      <c r="X36" s="1894"/>
      <c r="Y36" s="3073"/>
      <c r="Z36" s="1896" t="str">
        <f t="shared" si="15"/>
        <v>内部装修</v>
      </c>
      <c r="AA36" s="1897">
        <f t="shared" si="3"/>
        <v>1</v>
      </c>
      <c r="AB36" s="1897">
        <f t="shared" si="4"/>
        <v>1</v>
      </c>
      <c r="AC36" s="1897">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73"/>
      <c r="Q37" s="1893" t="str">
        <f t="shared" si="11"/>
        <v>内部装修状况</v>
      </c>
      <c r="R37" s="752" t="s">
        <v>25</v>
      </c>
      <c r="S37" s="753">
        <f t="shared" si="12"/>
        <v>0</v>
      </c>
      <c r="T37" s="752" t="s">
        <v>25</v>
      </c>
      <c r="U37" s="753">
        <f t="shared" si="13"/>
        <v>0</v>
      </c>
      <c r="V37" s="752" t="s">
        <v>25</v>
      </c>
      <c r="W37" s="753">
        <f t="shared" si="14"/>
        <v>0</v>
      </c>
      <c r="X37" s="1894"/>
      <c r="Y37" s="3073"/>
      <c r="Z37" s="1896" t="str">
        <f t="shared" si="15"/>
        <v>内部装修状况</v>
      </c>
      <c r="AA37" s="1897" t="e">
        <f t="shared" si="3"/>
        <v>#DIV/0!</v>
      </c>
      <c r="AB37" s="1897" t="e">
        <f t="shared" si="4"/>
        <v>#DIV/0!</v>
      </c>
      <c r="AC37" s="1897"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73"/>
      <c r="Q38" s="754">
        <f t="shared" si="11"/>
        <v>111</v>
      </c>
      <c r="R38" s="755" t="s">
        <v>25</v>
      </c>
      <c r="S38" s="756">
        <f t="shared" si="12"/>
        <v>100</v>
      </c>
      <c r="T38" s="755" t="s">
        <v>25</v>
      </c>
      <c r="U38" s="756">
        <f t="shared" si="13"/>
        <v>100</v>
      </c>
      <c r="V38" s="755" t="s">
        <v>25</v>
      </c>
      <c r="W38" s="756">
        <f t="shared" si="14"/>
        <v>100</v>
      </c>
      <c r="X38" s="757"/>
      <c r="Y38" s="3073"/>
      <c r="Z38" s="758">
        <f t="shared" si="15"/>
        <v>111</v>
      </c>
      <c r="AA38" s="1897">
        <f t="shared" si="3"/>
        <v>1</v>
      </c>
      <c r="AB38" s="1897">
        <f t="shared" si="4"/>
        <v>1</v>
      </c>
      <c r="AC38" s="1897">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73"/>
      <c r="Q39" s="1893">
        <f t="shared" si="11"/>
        <v>111</v>
      </c>
      <c r="R39" s="752" t="s">
        <v>25</v>
      </c>
      <c r="S39" s="753">
        <f t="shared" si="12"/>
        <v>100</v>
      </c>
      <c r="T39" s="752" t="s">
        <v>25</v>
      </c>
      <c r="U39" s="753">
        <f t="shared" si="13"/>
        <v>100</v>
      </c>
      <c r="V39" s="752" t="s">
        <v>25</v>
      </c>
      <c r="W39" s="753">
        <f t="shared" si="14"/>
        <v>100</v>
      </c>
      <c r="X39" s="1894"/>
      <c r="Y39" s="3073"/>
      <c r="Z39" s="1896">
        <f t="shared" si="15"/>
        <v>111</v>
      </c>
      <c r="AA39" s="1897">
        <f t="shared" si="3"/>
        <v>1</v>
      </c>
      <c r="AB39" s="1897">
        <f t="shared" si="4"/>
        <v>1</v>
      </c>
      <c r="AC39" s="1897">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74"/>
      <c r="Q40" s="1893">
        <f t="shared" si="11"/>
        <v>111</v>
      </c>
      <c r="R40" s="752" t="s">
        <v>25</v>
      </c>
      <c r="S40" s="753">
        <f t="shared" si="12"/>
        <v>100</v>
      </c>
      <c r="T40" s="752" t="s">
        <v>25</v>
      </c>
      <c r="U40" s="753">
        <f t="shared" si="13"/>
        <v>100</v>
      </c>
      <c r="V40" s="752" t="s">
        <v>25</v>
      </c>
      <c r="W40" s="753">
        <f t="shared" si="14"/>
        <v>100</v>
      </c>
      <c r="X40" s="1894"/>
      <c r="Y40" s="3074"/>
      <c r="Z40" s="1896">
        <f t="shared" si="15"/>
        <v>111</v>
      </c>
      <c r="AA40" s="1897">
        <f t="shared" si="3"/>
        <v>1</v>
      </c>
      <c r="AB40" s="1897">
        <f t="shared" si="4"/>
        <v>1</v>
      </c>
      <c r="AC40" s="1897">
        <f t="shared" si="5"/>
        <v>1</v>
      </c>
    </row>
    <row r="41" spans="1:29" ht="15">
      <c r="A41" s="460" t="s">
        <v>2372</v>
      </c>
      <c r="B41" s="461"/>
      <c r="C41" s="1497" t="s">
        <v>1</v>
      </c>
      <c r="D41" s="1498"/>
      <c r="E41" s="1499"/>
      <c r="F41" s="1500"/>
      <c r="G41" s="1501"/>
      <c r="H41" s="1502"/>
      <c r="I41" s="1499"/>
      <c r="J41" s="1502"/>
      <c r="K41" s="761"/>
      <c r="L41" s="1251"/>
      <c r="M41" s="1252"/>
      <c r="N41" s="1239"/>
      <c r="O41" s="1252"/>
      <c r="P41" s="3079" t="str">
        <f>A41</f>
        <v>成交单价（元/平方米）</v>
      </c>
      <c r="Q41" s="3079"/>
      <c r="R41" s="3080">
        <f>E41</f>
        <v>0</v>
      </c>
      <c r="S41" s="3080"/>
      <c r="T41" s="3080">
        <f>G41</f>
        <v>0</v>
      </c>
      <c r="U41" s="3080"/>
      <c r="V41" s="3080">
        <f>I41</f>
        <v>0</v>
      </c>
      <c r="W41" s="3080"/>
      <c r="X41" s="737"/>
      <c r="Y41" s="759"/>
      <c r="Z41" s="737"/>
      <c r="AA41" s="737"/>
      <c r="AB41" s="737"/>
      <c r="AC41" s="737"/>
    </row>
    <row r="42" spans="1:29" ht="15.75" thickBot="1">
      <c r="A42" s="467" t="s">
        <v>2455</v>
      </c>
      <c r="B42" s="468"/>
      <c r="C42" s="1503" t="e">
        <f>R43</f>
        <v>#DIV/0!</v>
      </c>
      <c r="D42" s="1504"/>
      <c r="E42" s="1505" t="e">
        <f>R42</f>
        <v>#DIV/0!</v>
      </c>
      <c r="F42" s="1505"/>
      <c r="G42" s="1503" t="e">
        <f>T42</f>
        <v>#DIV/0!</v>
      </c>
      <c r="H42" s="1504"/>
      <c r="I42" s="1505" t="e">
        <f>V42</f>
        <v>#DIV/0!</v>
      </c>
      <c r="J42" s="1504"/>
      <c r="K42" s="762"/>
      <c r="L42" s="1251"/>
      <c r="M42" s="1252"/>
      <c r="N42" s="1239"/>
      <c r="O42" s="1252"/>
      <c r="P42" s="3079" t="str">
        <f>A42</f>
        <v>比较价值（元/平方米）</v>
      </c>
      <c r="Q42" s="3079"/>
      <c r="R42" s="3080" t="e">
        <f>IF(E1="售价",ROUND(PRODUCT(R41,AA7:AA40),0),ROUND(PRODUCT(R41,AA7:AA40),1))</f>
        <v>#DIV/0!</v>
      </c>
      <c r="S42" s="3080"/>
      <c r="T42" s="3080" t="e">
        <f>IF(E1="售价",ROUND(PRODUCT(T41,AB7:AB40),0),ROUND(PRODUCT(T41,AB7:AB40),1))</f>
        <v>#DIV/0!</v>
      </c>
      <c r="U42" s="3080"/>
      <c r="V42" s="3080" t="e">
        <f>IF(E1="售价",ROUND(PRODUCT(V41,AC7:AC40),0),ROUND(PRODUCT(V41,AC7:AC40),1))</f>
        <v>#DIV/0!</v>
      </c>
      <c r="W42" s="3080"/>
      <c r="X42" s="737"/>
      <c r="Y42" s="737"/>
      <c r="Z42" s="737"/>
      <c r="AA42" s="737"/>
      <c r="AB42" s="737"/>
      <c r="AC42" s="737"/>
    </row>
    <row r="43" spans="1:29" ht="15.75" thickBot="1">
      <c r="A43" s="473" t="s">
        <v>2478</v>
      </c>
      <c r="B43" s="474"/>
      <c r="C43" s="1507" t="e">
        <f>R43</f>
        <v>#DIV/0!</v>
      </c>
      <c r="D43" s="1507"/>
      <c r="E43" s="1507"/>
      <c r="F43" s="1507"/>
      <c r="G43" s="1507"/>
      <c r="H43" s="1507"/>
      <c r="I43" s="1507"/>
      <c r="J43" s="1507"/>
      <c r="K43" s="763"/>
      <c r="L43" s="1251"/>
      <c r="M43" s="1252"/>
      <c r="N43" s="1252"/>
      <c r="O43" s="1252"/>
      <c r="P43" s="3085" t="str">
        <f>A43</f>
        <v>估价对象XX用房的比较价值（楼面单价，元/平方米）</v>
      </c>
      <c r="Q43" s="3086"/>
      <c r="R43" s="3087" t="e">
        <f>IF(E1="售价",ROUND(AVERAGE(R42:V42),0),ROUND(AVERAGE(R42:V42),1))</f>
        <v>#DIV/0!</v>
      </c>
      <c r="S43" s="3087"/>
      <c r="T43" s="3087"/>
      <c r="U43" s="3087"/>
      <c r="V43" s="3087"/>
      <c r="W43" s="3087"/>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2460</v>
      </c>
      <c r="B51" s="737"/>
      <c r="C51" s="742"/>
      <c r="D51" s="742"/>
      <c r="E51" s="742"/>
      <c r="F51" s="743"/>
      <c r="G51" s="743"/>
      <c r="H51" s="742"/>
      <c r="I51" s="742"/>
      <c r="J51" s="742"/>
      <c r="K51" s="744"/>
      <c r="L51" s="745"/>
      <c r="M51" s="742"/>
      <c r="N51" s="742"/>
      <c r="O51" s="742"/>
      <c r="P51" s="484"/>
      <c r="Q51" s="485"/>
    </row>
    <row r="52" spans="1:17" s="489" customFormat="1" ht="15">
      <c r="A52" s="486" t="s">
        <v>2342</v>
      </c>
      <c r="B52" s="487"/>
      <c r="C52" s="1673" t="str">
        <f>YEAR(C7)&amp;"-"&amp;MONTH(C7)</f>
        <v>2020-2</v>
      </c>
      <c r="D52" s="1674">
        <f>EDATE(C52,-1)</f>
        <v>43831</v>
      </c>
      <c r="E52" s="1675">
        <f t="shared" ref="E52:O52" si="16">EDATE(D52,-1)</f>
        <v>43800</v>
      </c>
      <c r="F52" s="1675">
        <f t="shared" si="16"/>
        <v>43770</v>
      </c>
      <c r="G52" s="1675">
        <f t="shared" si="16"/>
        <v>43739</v>
      </c>
      <c r="H52" s="1675">
        <f t="shared" si="16"/>
        <v>43709</v>
      </c>
      <c r="I52" s="1675">
        <f t="shared" si="16"/>
        <v>43678</v>
      </c>
      <c r="J52" s="1675">
        <f t="shared" si="16"/>
        <v>43647</v>
      </c>
      <c r="K52" s="1675">
        <f t="shared" si="16"/>
        <v>43617</v>
      </c>
      <c r="L52" s="1675">
        <f t="shared" si="16"/>
        <v>43586</v>
      </c>
      <c r="M52" s="1675">
        <f t="shared" si="16"/>
        <v>43556</v>
      </c>
      <c r="N52" s="1675">
        <f t="shared" si="16"/>
        <v>43525</v>
      </c>
      <c r="O52" s="1675">
        <f t="shared" si="16"/>
        <v>43497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2383</v>
      </c>
      <c r="B57" s="509" t="s">
        <v>2348</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3"/>
      <c r="B87" s="553"/>
      <c r="C87" s="554"/>
      <c r="D87" s="554"/>
      <c r="E87" s="554"/>
      <c r="F87" s="554"/>
      <c r="G87" s="575"/>
      <c r="H87" s="575"/>
      <c r="I87" s="575"/>
      <c r="J87" s="575"/>
      <c r="K87" s="575"/>
      <c r="L87" s="575"/>
      <c r="M87" s="576"/>
      <c r="N87" s="1263"/>
      <c r="O87" s="1263"/>
      <c r="P87" s="22"/>
      <c r="Q87" s="485"/>
    </row>
    <row r="88" spans="1:17">
      <c r="A88" s="508" t="s">
        <v>2358</v>
      </c>
      <c r="B88" s="509" t="s">
        <v>2407</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2409</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2411</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2413</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2414</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2416</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3"/>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25"/>
      <c r="E1" s="2373"/>
      <c r="F1" s="1726" t="s">
        <v>2327</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IF(D2="——",IF(B37="元/平方米",IF(C2="元",ROUND(C39*D3,0),ROUND(C39*D3/10000,0)),IF(C2="元",ROUND(F3*C39,0),ROUND(F3*C39/10000,0))),IF(B37="元/平方米",IF(C2="元",ROUND(C39*D3,0),ROUND(C39*D3/10000,0)),IF(C2="元",ROUND(F3*C39,0),ROUND(F3*C39/10000,0)))-E2)</f>
        <v>#DIV/0!</v>
      </c>
      <c r="C2" s="163" t="str">
        <f>'数据-取费表'!B3</f>
        <v>元</v>
      </c>
      <c r="D2" s="2375"/>
      <c r="E2" s="1209" t="e">
        <f ca="1">SUMIF(INDIRECT("'"&amp;G2&amp;"'"&amp;"!A:A"),"承租人权益价值",INDIRECT("'"&amp;G2&amp;"'"&amp;"!c:c"))</f>
        <v>#REF!</v>
      </c>
      <c r="F2" s="2376" t="str">
        <f>C2</f>
        <v>元</v>
      </c>
      <c r="G2" s="2377"/>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1998</v>
      </c>
      <c r="B3" s="593" t="e">
        <f>IF(AND(D2="——",B37="元/平方米"),C39,ROUND(F3*C39/D3,0))</f>
        <v>#DIV/0!</v>
      </c>
      <c r="C3" s="379" t="s">
        <v>2328</v>
      </c>
      <c r="D3" s="378">
        <f>IF(C1="仅计算典型户型",'数据-取费表'!E5,'数据-取费表'!B5)</f>
        <v>261.58999999999997</v>
      </c>
      <c r="E3" s="1087" t="s">
        <v>2496</v>
      </c>
      <c r="F3" s="379">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509"/>
      <c r="M4" s="425"/>
      <c r="N4" s="425"/>
      <c r="O4" s="425"/>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509"/>
      <c r="M5" s="425"/>
      <c r="N5" s="425"/>
      <c r="O5" s="425"/>
      <c r="P5" s="3053"/>
      <c r="Q5" s="3054"/>
      <c r="R5" s="3059"/>
      <c r="S5" s="3060"/>
      <c r="T5" s="3059"/>
      <c r="U5" s="3060"/>
      <c r="V5" s="3063"/>
      <c r="W5" s="3063"/>
      <c r="X5" s="1894"/>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509"/>
      <c r="M6" s="425"/>
      <c r="N6" s="425"/>
      <c r="O6" s="425"/>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75" t="s">
        <v>2343</v>
      </c>
      <c r="Q7" s="3077"/>
      <c r="R7" s="748" t="s">
        <v>25</v>
      </c>
      <c r="S7" s="749">
        <f t="shared" ref="S7:S14" si="0">F7</f>
        <v>0</v>
      </c>
      <c r="T7" s="748" t="s">
        <v>25</v>
      </c>
      <c r="U7" s="749">
        <f t="shared" ref="U7:U14" si="1">H7</f>
        <v>0</v>
      </c>
      <c r="V7" s="748" t="s">
        <v>25</v>
      </c>
      <c r="W7" s="749">
        <f t="shared" ref="W7:W14" si="2">J7</f>
        <v>0</v>
      </c>
      <c r="X7" s="750"/>
      <c r="Y7" s="3075" t="s">
        <v>2343</v>
      </c>
      <c r="Z7" s="3076"/>
      <c r="AA7" s="751" t="e">
        <f>D7/F7</f>
        <v>#DIV/0!</v>
      </c>
      <c r="AB7" s="751" t="e">
        <f>D7/H7</f>
        <v>#DIV/0!</v>
      </c>
      <c r="AC7" s="751"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75" t="s">
        <v>2346</v>
      </c>
      <c r="Q8" s="3076"/>
      <c r="R8" s="748" t="s">
        <v>25</v>
      </c>
      <c r="S8" s="749">
        <f t="shared" si="0"/>
        <v>0</v>
      </c>
      <c r="T8" s="748" t="s">
        <v>25</v>
      </c>
      <c r="U8" s="749">
        <f t="shared" si="1"/>
        <v>0</v>
      </c>
      <c r="V8" s="748" t="s">
        <v>25</v>
      </c>
      <c r="W8" s="749">
        <f t="shared" si="2"/>
        <v>0</v>
      </c>
      <c r="X8" s="750"/>
      <c r="Y8" s="3075" t="s">
        <v>2346</v>
      </c>
      <c r="Z8" s="3076"/>
      <c r="AA8" s="751" t="e">
        <f t="shared" ref="AA8:AA36" si="3">D8/F8</f>
        <v>#DIV/0!</v>
      </c>
      <c r="AB8" s="751" t="e">
        <f t="shared" ref="AB8:AB36" si="4">D8/H8</f>
        <v>#DIV/0!</v>
      </c>
      <c r="AC8" s="751"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79" t="s">
        <v>2349</v>
      </c>
      <c r="Q9" s="1881" t="str">
        <f t="shared" ref="Q9:Q14" si="6">B9</f>
        <v>用途</v>
      </c>
      <c r="R9" s="748" t="s">
        <v>25</v>
      </c>
      <c r="S9" s="749">
        <f t="shared" si="0"/>
        <v>100</v>
      </c>
      <c r="T9" s="748" t="s">
        <v>25</v>
      </c>
      <c r="U9" s="749">
        <f t="shared" si="1"/>
        <v>100</v>
      </c>
      <c r="V9" s="748" t="s">
        <v>25</v>
      </c>
      <c r="W9" s="749">
        <f t="shared" si="2"/>
        <v>100</v>
      </c>
      <c r="X9" s="750"/>
      <c r="Y9" s="2875" t="s">
        <v>2350</v>
      </c>
      <c r="Z9" s="23" t="str">
        <f t="shared" ref="Z9:Z14" si="7">Q9</f>
        <v>用途</v>
      </c>
      <c r="AA9" s="751">
        <f t="shared" si="3"/>
        <v>1</v>
      </c>
      <c r="AB9" s="751">
        <f t="shared" si="4"/>
        <v>1</v>
      </c>
      <c r="AC9" s="751">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79"/>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79"/>
      <c r="Q11" s="1881">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79"/>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6.75">
      <c r="A14" s="380" t="s">
        <v>2353</v>
      </c>
      <c r="B14" s="613" t="s">
        <v>2497</v>
      </c>
      <c r="C14" s="1475" t="str">
        <f>IF(B1="工业",估价对象房地状况!G4,估价对象房地状况!C6)</f>
        <v>估价对象周边道路状况较好、公共交通通达情况较好、有534、539、611、614路等多路公交车及地铁10号线经过、停车便捷程度一般，综合评价交通便捷度较好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68" t="s">
        <v>2354</v>
      </c>
      <c r="Q14" s="1893" t="str">
        <f t="shared" si="6"/>
        <v>交通便捷度</v>
      </c>
      <c r="R14" s="752" t="s">
        <v>25</v>
      </c>
      <c r="S14" s="753">
        <f t="shared" si="0"/>
        <v>100</v>
      </c>
      <c r="T14" s="752" t="s">
        <v>25</v>
      </c>
      <c r="U14" s="753">
        <f t="shared" si="1"/>
        <v>100</v>
      </c>
      <c r="V14" s="752" t="s">
        <v>25</v>
      </c>
      <c r="W14" s="753">
        <f t="shared" si="2"/>
        <v>100</v>
      </c>
      <c r="X14" s="1894"/>
      <c r="Y14" s="3068" t="s">
        <v>2354</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69"/>
      <c r="Q15" s="1893"/>
      <c r="R15" s="752"/>
      <c r="S15" s="753"/>
      <c r="T15" s="752"/>
      <c r="U15" s="753"/>
      <c r="V15" s="752"/>
      <c r="W15" s="753"/>
      <c r="X15" s="1894"/>
      <c r="Y15" s="3069"/>
      <c r="Z15" s="1896"/>
      <c r="AA15" s="1897">
        <v>1</v>
      </c>
      <c r="AB15" s="1897">
        <v>1</v>
      </c>
      <c r="AC15" s="1897">
        <v>1</v>
      </c>
    </row>
    <row r="16" spans="1:29" ht="42.75">
      <c r="A16" s="383"/>
      <c r="B16" s="615" t="s">
        <v>2469</v>
      </c>
      <c r="C16" s="1477" t="str">
        <f>IF(B1="工业",估价对象房地状况!G5,估价对象房地状况!C7)</f>
        <v>估价对象所在区域公共配套设施齐备情况齐全</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69"/>
      <c r="Q16" s="1893" t="str">
        <f>B16</f>
        <v>公共配套设施</v>
      </c>
      <c r="R16" s="752" t="s">
        <v>25</v>
      </c>
      <c r="S16" s="753">
        <f>F16</f>
        <v>100</v>
      </c>
      <c r="T16" s="752" t="s">
        <v>25</v>
      </c>
      <c r="U16" s="753">
        <f>H16</f>
        <v>100</v>
      </c>
      <c r="V16" s="752" t="s">
        <v>25</v>
      </c>
      <c r="W16" s="753">
        <f>J16</f>
        <v>100</v>
      </c>
      <c r="X16" s="1894"/>
      <c r="Y16" s="306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69"/>
      <c r="Q17" s="1893"/>
      <c r="R17" s="752"/>
      <c r="S17" s="753"/>
      <c r="T17" s="752"/>
      <c r="U17" s="753"/>
      <c r="V17" s="752"/>
      <c r="W17" s="753"/>
      <c r="X17" s="1894"/>
      <c r="Y17" s="3069"/>
      <c r="Z17" s="1896"/>
      <c r="AA17" s="1897">
        <v>1</v>
      </c>
      <c r="AB17" s="1897">
        <v>1</v>
      </c>
      <c r="AC17" s="1897">
        <v>1</v>
      </c>
    </row>
    <row r="18" spans="1:29" ht="42.75">
      <c r="A18" s="383"/>
      <c r="B18" s="617" t="s">
        <v>2470</v>
      </c>
      <c r="C18" s="1477" t="str">
        <f>IF(B1="工业",估价对象房地状况!G6,估价对象房地状况!C8)</f>
        <v>估价对象所在区域基础设施水平高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69"/>
      <c r="Q18" s="1893" t="str">
        <f>B18</f>
        <v>基础设施水平</v>
      </c>
      <c r="R18" s="752" t="s">
        <v>25</v>
      </c>
      <c r="S18" s="753">
        <f>F18</f>
        <v>100</v>
      </c>
      <c r="T18" s="752" t="s">
        <v>25</v>
      </c>
      <c r="U18" s="753">
        <f>H18</f>
        <v>100</v>
      </c>
      <c r="V18" s="752" t="s">
        <v>25</v>
      </c>
      <c r="W18" s="753">
        <f>J18</f>
        <v>100</v>
      </c>
      <c r="X18" s="1894"/>
      <c r="Y18" s="306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69"/>
      <c r="Q19" s="1893"/>
      <c r="R19" s="752"/>
      <c r="S19" s="753"/>
      <c r="T19" s="752"/>
      <c r="U19" s="753"/>
      <c r="V19" s="752"/>
      <c r="W19" s="753"/>
      <c r="X19" s="1894"/>
      <c r="Y19" s="3069"/>
      <c r="Z19" s="1896"/>
      <c r="AA19" s="1897">
        <v>1</v>
      </c>
      <c r="AB19" s="1897">
        <v>1</v>
      </c>
      <c r="AC19" s="1897">
        <v>1</v>
      </c>
    </row>
    <row r="20" spans="1:29" ht="71.25">
      <c r="A20" s="383"/>
      <c r="B20" s="615" t="s">
        <v>2498</v>
      </c>
      <c r="C20" s="1477" t="str">
        <f>IF(B1="工业",估价对象房地状况!G7,估价对象房地状况!C9)</f>
        <v>区域自然环境：巴沟山水园；人文环境：北京人民大学；综合评价环境状况较好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69"/>
      <c r="Q20" s="1893" t="str">
        <f>B20</f>
        <v>自然及人文环境</v>
      </c>
      <c r="R20" s="752" t="s">
        <v>25</v>
      </c>
      <c r="S20" s="753">
        <f>F20</f>
        <v>100</v>
      </c>
      <c r="T20" s="752" t="s">
        <v>25</v>
      </c>
      <c r="U20" s="753">
        <f>H20</f>
        <v>100</v>
      </c>
      <c r="V20" s="752" t="s">
        <v>25</v>
      </c>
      <c r="W20" s="753">
        <f>J20</f>
        <v>100</v>
      </c>
      <c r="X20" s="1894"/>
      <c r="Y20" s="306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69"/>
      <c r="Q21" s="1893"/>
      <c r="R21" s="752"/>
      <c r="S21" s="753"/>
      <c r="T21" s="752"/>
      <c r="U21" s="753"/>
      <c r="V21" s="752"/>
      <c r="W21" s="753"/>
      <c r="X21" s="1894"/>
      <c r="Y21" s="3069"/>
      <c r="Z21" s="1896"/>
      <c r="AA21" s="1897">
        <v>1</v>
      </c>
      <c r="AB21" s="1897">
        <v>1</v>
      </c>
      <c r="AC21" s="1897">
        <v>1</v>
      </c>
    </row>
    <row r="22" spans="1:29" ht="15">
      <c r="A22" s="383"/>
      <c r="B22" s="615" t="s">
        <v>2499</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69"/>
      <c r="Q22" s="1893" t="str">
        <f>B22</f>
        <v>楼层</v>
      </c>
      <c r="R22" s="752" t="s">
        <v>25</v>
      </c>
      <c r="S22" s="753">
        <f>F22</f>
        <v>100</v>
      </c>
      <c r="T22" s="752" t="s">
        <v>25</v>
      </c>
      <c r="U22" s="753">
        <f>H22</f>
        <v>100</v>
      </c>
      <c r="V22" s="752" t="s">
        <v>25</v>
      </c>
      <c r="W22" s="753">
        <f>J22</f>
        <v>100</v>
      </c>
      <c r="X22" s="1894"/>
      <c r="Y22" s="306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69"/>
      <c r="Q23" s="1893">
        <f>B23</f>
        <v>111</v>
      </c>
      <c r="R23" s="752" t="s">
        <v>25</v>
      </c>
      <c r="S23" s="753">
        <f>F23</f>
        <v>100</v>
      </c>
      <c r="T23" s="752" t="s">
        <v>25</v>
      </c>
      <c r="U23" s="753">
        <f>H23</f>
        <v>100</v>
      </c>
      <c r="V23" s="752" t="s">
        <v>25</v>
      </c>
      <c r="W23" s="753">
        <f>J23</f>
        <v>100</v>
      </c>
      <c r="X23" s="1894"/>
      <c r="Y23" s="306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69"/>
      <c r="Q24" s="1893">
        <f t="shared" ref="Q24:Q36" si="11">B24</f>
        <v>111</v>
      </c>
      <c r="R24" s="752" t="s">
        <v>25</v>
      </c>
      <c r="S24" s="753">
        <f>F24</f>
        <v>100</v>
      </c>
      <c r="T24" s="752" t="s">
        <v>25</v>
      </c>
      <c r="U24" s="753">
        <f>H24</f>
        <v>100</v>
      </c>
      <c r="V24" s="752" t="s">
        <v>25</v>
      </c>
      <c r="W24" s="753">
        <f>J24</f>
        <v>100</v>
      </c>
      <c r="X24" s="1894"/>
      <c r="Y24" s="3069"/>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69"/>
      <c r="Q25" s="1881">
        <f t="shared" si="11"/>
        <v>111</v>
      </c>
      <c r="R25" s="748" t="s">
        <v>25</v>
      </c>
      <c r="S25" s="749">
        <f>F25</f>
        <v>100</v>
      </c>
      <c r="T25" s="748" t="s">
        <v>25</v>
      </c>
      <c r="U25" s="749">
        <f>H25</f>
        <v>100</v>
      </c>
      <c r="V25" s="748" t="s">
        <v>25</v>
      </c>
      <c r="W25" s="749">
        <f>J25</f>
        <v>100</v>
      </c>
      <c r="X25" s="750"/>
      <c r="Y25" s="3069"/>
      <c r="Z25" s="23">
        <f>Q25</f>
        <v>111</v>
      </c>
      <c r="AA25" s="1897">
        <f>D25/F25</f>
        <v>1</v>
      </c>
      <c r="AB25" s="1897">
        <f>D25/H25</f>
        <v>1</v>
      </c>
      <c r="AC25" s="1897">
        <f>D25/J25</f>
        <v>1</v>
      </c>
    </row>
    <row r="26" spans="1:29" ht="28.5">
      <c r="A26" s="635" t="s">
        <v>2358</v>
      </c>
      <c r="B26" s="27" t="s">
        <v>2500</v>
      </c>
      <c r="C26" s="2472"/>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101" t="s">
        <v>2360</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73" t="s">
        <v>2360</v>
      </c>
      <c r="Z26" s="1896" t="str">
        <f t="shared" ref="Z26:Z36" si="15">Q26</f>
        <v>配套类型</v>
      </c>
      <c r="AA26" s="1897">
        <f t="shared" si="3"/>
        <v>1</v>
      </c>
      <c r="AB26" s="1897">
        <f t="shared" si="4"/>
        <v>1</v>
      </c>
      <c r="AC26" s="1897">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73"/>
      <c r="Q27" s="754" t="str">
        <f t="shared" si="11"/>
        <v>项目停车位配比</v>
      </c>
      <c r="R27" s="755" t="s">
        <v>25</v>
      </c>
      <c r="S27" s="756">
        <f t="shared" si="12"/>
        <v>100</v>
      </c>
      <c r="T27" s="755" t="s">
        <v>25</v>
      </c>
      <c r="U27" s="756">
        <f t="shared" si="13"/>
        <v>100</v>
      </c>
      <c r="V27" s="755" t="s">
        <v>25</v>
      </c>
      <c r="W27" s="756">
        <f t="shared" si="14"/>
        <v>100</v>
      </c>
      <c r="X27" s="757"/>
      <c r="Y27" s="3073"/>
      <c r="Z27" s="758" t="str">
        <f t="shared" si="15"/>
        <v>项目停车位配比</v>
      </c>
      <c r="AA27" s="1897">
        <f t="shared" si="3"/>
        <v>1</v>
      </c>
      <c r="AB27" s="1897">
        <f t="shared" si="4"/>
        <v>1</v>
      </c>
      <c r="AC27" s="1897">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73"/>
      <c r="Q28" s="1893" t="str">
        <f t="shared" si="11"/>
        <v>公共部分装修</v>
      </c>
      <c r="R28" s="752" t="s">
        <v>25</v>
      </c>
      <c r="S28" s="753">
        <f t="shared" si="12"/>
        <v>100</v>
      </c>
      <c r="T28" s="752" t="s">
        <v>25</v>
      </c>
      <c r="U28" s="753">
        <f t="shared" si="13"/>
        <v>100</v>
      </c>
      <c r="V28" s="752" t="s">
        <v>25</v>
      </c>
      <c r="W28" s="753">
        <f t="shared" si="14"/>
        <v>100</v>
      </c>
      <c r="X28" s="1894"/>
      <c r="Y28" s="3073"/>
      <c r="Z28" s="1896" t="str">
        <f t="shared" si="15"/>
        <v>公共部分装修</v>
      </c>
      <c r="AA28" s="1897">
        <f t="shared" si="3"/>
        <v>1</v>
      </c>
      <c r="AB28" s="1897">
        <f t="shared" si="4"/>
        <v>1</v>
      </c>
      <c r="AC28" s="1897">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73"/>
      <c r="Q29" s="1893" t="str">
        <f t="shared" si="11"/>
        <v>成新率</v>
      </c>
      <c r="R29" s="752" t="s">
        <v>25</v>
      </c>
      <c r="S29" s="753" t="e">
        <f t="shared" si="12"/>
        <v>#N/A</v>
      </c>
      <c r="T29" s="752" t="s">
        <v>25</v>
      </c>
      <c r="U29" s="753" t="e">
        <f t="shared" si="13"/>
        <v>#N/A</v>
      </c>
      <c r="V29" s="752" t="s">
        <v>25</v>
      </c>
      <c r="W29" s="753" t="e">
        <f t="shared" si="14"/>
        <v>#N/A</v>
      </c>
      <c r="X29" s="1894"/>
      <c r="Y29" s="3073"/>
      <c r="Z29" s="1896" t="str">
        <f t="shared" si="15"/>
        <v>成新率</v>
      </c>
      <c r="AA29" s="1897" t="e">
        <f t="shared" si="3"/>
        <v>#N/A</v>
      </c>
      <c r="AB29" s="1897" t="e">
        <f t="shared" si="4"/>
        <v>#N/A</v>
      </c>
      <c r="AC29" s="1897"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73"/>
      <c r="Q30" s="1893" t="str">
        <f t="shared" si="11"/>
        <v>物业等级</v>
      </c>
      <c r="R30" s="752" t="s">
        <v>25</v>
      </c>
      <c r="S30" s="753">
        <f t="shared" si="12"/>
        <v>100</v>
      </c>
      <c r="T30" s="752" t="s">
        <v>25</v>
      </c>
      <c r="U30" s="753">
        <f t="shared" si="13"/>
        <v>100</v>
      </c>
      <c r="V30" s="752" t="s">
        <v>25</v>
      </c>
      <c r="W30" s="753">
        <f t="shared" si="14"/>
        <v>100</v>
      </c>
      <c r="X30" s="1894"/>
      <c r="Y30" s="3073"/>
      <c r="Z30" s="1896" t="str">
        <f t="shared" si="15"/>
        <v>物业等级</v>
      </c>
      <c r="AA30" s="1897">
        <f t="shared" si="3"/>
        <v>1</v>
      </c>
      <c r="AB30" s="1897">
        <f t="shared" si="4"/>
        <v>1</v>
      </c>
      <c r="AC30" s="1897">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73"/>
      <c r="Q31" s="1881" t="str">
        <f t="shared" si="11"/>
        <v>停车位面积</v>
      </c>
      <c r="R31" s="748" t="s">
        <v>25</v>
      </c>
      <c r="S31" s="749" t="e">
        <f t="shared" si="12"/>
        <v>#N/A</v>
      </c>
      <c r="T31" s="748" t="s">
        <v>25</v>
      </c>
      <c r="U31" s="749" t="e">
        <f t="shared" si="13"/>
        <v>#N/A</v>
      </c>
      <c r="V31" s="748" t="s">
        <v>25</v>
      </c>
      <c r="W31" s="749" t="e">
        <f t="shared" si="14"/>
        <v>#N/A</v>
      </c>
      <c r="X31" s="750"/>
      <c r="Y31" s="3073"/>
      <c r="Z31" s="23" t="str">
        <f t="shared" si="15"/>
        <v>停车位面积</v>
      </c>
      <c r="AA31" s="751" t="e">
        <f t="shared" si="3"/>
        <v>#N/A</v>
      </c>
      <c r="AB31" s="751" t="e">
        <f t="shared" si="4"/>
        <v>#N/A</v>
      </c>
      <c r="AC31" s="751"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73" t="s">
        <v>2360</v>
      </c>
      <c r="Q32" s="1893" t="str">
        <f t="shared" si="11"/>
        <v>车位类型</v>
      </c>
      <c r="R32" s="752" t="s">
        <v>25</v>
      </c>
      <c r="S32" s="753">
        <f t="shared" si="12"/>
        <v>100</v>
      </c>
      <c r="T32" s="752" t="s">
        <v>25</v>
      </c>
      <c r="U32" s="753">
        <f t="shared" si="13"/>
        <v>100</v>
      </c>
      <c r="V32" s="752" t="s">
        <v>25</v>
      </c>
      <c r="W32" s="753">
        <f t="shared" si="14"/>
        <v>100</v>
      </c>
      <c r="X32" s="1894"/>
      <c r="Y32" s="3073" t="s">
        <v>2360</v>
      </c>
      <c r="Z32" s="1896" t="str">
        <f t="shared" si="15"/>
        <v>车位类型</v>
      </c>
      <c r="AA32" s="1897">
        <f t="shared" si="3"/>
        <v>1</v>
      </c>
      <c r="AB32" s="1897">
        <f t="shared" si="4"/>
        <v>1</v>
      </c>
      <c r="AC32" s="1897">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73"/>
      <c r="Q33" s="1893" t="str">
        <f t="shared" si="11"/>
        <v>是否直接入户</v>
      </c>
      <c r="R33" s="752" t="s">
        <v>25</v>
      </c>
      <c r="S33" s="753">
        <f t="shared" si="12"/>
        <v>100</v>
      </c>
      <c r="T33" s="752" t="s">
        <v>25</v>
      </c>
      <c r="U33" s="753">
        <f t="shared" si="13"/>
        <v>100</v>
      </c>
      <c r="V33" s="752" t="s">
        <v>25</v>
      </c>
      <c r="W33" s="753">
        <f t="shared" si="14"/>
        <v>100</v>
      </c>
      <c r="X33" s="1894"/>
      <c r="Y33" s="3073"/>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73"/>
      <c r="Q34" s="1893">
        <f t="shared" si="11"/>
        <v>111</v>
      </c>
      <c r="R34" s="752" t="s">
        <v>25</v>
      </c>
      <c r="S34" s="753">
        <f t="shared" si="12"/>
        <v>100</v>
      </c>
      <c r="T34" s="752" t="s">
        <v>25</v>
      </c>
      <c r="U34" s="753">
        <f t="shared" si="13"/>
        <v>100</v>
      </c>
      <c r="V34" s="752" t="s">
        <v>25</v>
      </c>
      <c r="W34" s="753">
        <f t="shared" si="14"/>
        <v>100</v>
      </c>
      <c r="X34" s="1894"/>
      <c r="Y34" s="3073"/>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73"/>
      <c r="Q35" s="754">
        <f t="shared" si="11"/>
        <v>111</v>
      </c>
      <c r="R35" s="755" t="s">
        <v>25</v>
      </c>
      <c r="S35" s="756">
        <f t="shared" si="12"/>
        <v>100</v>
      </c>
      <c r="T35" s="755" t="s">
        <v>25</v>
      </c>
      <c r="U35" s="756">
        <f t="shared" si="13"/>
        <v>100</v>
      </c>
      <c r="V35" s="755" t="s">
        <v>25</v>
      </c>
      <c r="W35" s="756">
        <f t="shared" si="14"/>
        <v>100</v>
      </c>
      <c r="X35" s="757"/>
      <c r="Y35" s="3073"/>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73"/>
      <c r="Q36" s="1893">
        <f t="shared" si="11"/>
        <v>111</v>
      </c>
      <c r="R36" s="752" t="s">
        <v>25</v>
      </c>
      <c r="S36" s="753">
        <f t="shared" si="12"/>
        <v>100</v>
      </c>
      <c r="T36" s="752" t="s">
        <v>25</v>
      </c>
      <c r="U36" s="753">
        <f t="shared" si="13"/>
        <v>100</v>
      </c>
      <c r="V36" s="752" t="s">
        <v>25</v>
      </c>
      <c r="W36" s="753">
        <f t="shared" si="14"/>
        <v>100</v>
      </c>
      <c r="X36" s="1894"/>
      <c r="Y36" s="3073"/>
      <c r="Z36" s="1896">
        <f t="shared" si="15"/>
        <v>111</v>
      </c>
      <c r="AA36" s="1897">
        <f t="shared" si="3"/>
        <v>1</v>
      </c>
      <c r="AB36" s="1897">
        <f t="shared" si="4"/>
        <v>1</v>
      </c>
      <c r="AC36" s="1897">
        <f t="shared" si="5"/>
        <v>1</v>
      </c>
    </row>
    <row r="37" spans="1:29" ht="15">
      <c r="A37" s="460" t="s">
        <v>2508</v>
      </c>
      <c r="B37" s="1088" t="s">
        <v>2509</v>
      </c>
      <c r="C37" s="1497" t="s">
        <v>1</v>
      </c>
      <c r="D37" s="1498"/>
      <c r="E37" s="1499"/>
      <c r="F37" s="1500"/>
      <c r="G37" s="1501"/>
      <c r="H37" s="1502"/>
      <c r="I37" s="1499"/>
      <c r="J37" s="1502"/>
      <c r="K37" s="603"/>
      <c r="L37" s="1520"/>
      <c r="M37" s="737"/>
      <c r="N37" s="425"/>
      <c r="O37" s="737"/>
      <c r="P37" s="3079" t="str">
        <f>A37</f>
        <v>成交单价</v>
      </c>
      <c r="Q37" s="3079"/>
      <c r="R37" s="3080">
        <f>E37</f>
        <v>0</v>
      </c>
      <c r="S37" s="3080"/>
      <c r="T37" s="3080">
        <f>G37</f>
        <v>0</v>
      </c>
      <c r="U37" s="3080"/>
      <c r="V37" s="3080">
        <f>I37</f>
        <v>0</v>
      </c>
      <c r="W37" s="3080"/>
      <c r="X37" s="737"/>
      <c r="Y37" s="759"/>
      <c r="Z37" s="737"/>
      <c r="AA37" s="737"/>
      <c r="AB37" s="737"/>
      <c r="AC37" s="737"/>
    </row>
    <row r="38" spans="1:29" ht="15.75" thickBot="1">
      <c r="A38" s="467" t="s">
        <v>2510</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79" t="str">
        <f>A38</f>
        <v>比较价值</v>
      </c>
      <c r="Q38" s="3079"/>
      <c r="R38" s="3080" t="e">
        <f>IF(E1="售价",ROUND(PRODUCT(R37,AA7:AA36),0),ROUND(PRODUCT(R37,AA7:AA36),1))</f>
        <v>#DIV/0!</v>
      </c>
      <c r="S38" s="3080"/>
      <c r="T38" s="3080" t="e">
        <f>IF(E1="售价",ROUND(PRODUCT(T37,AB7:AB36),0),ROUND(PRODUCT(T37,AB7:AB36),1))</f>
        <v>#DIV/0!</v>
      </c>
      <c r="U38" s="3080"/>
      <c r="V38" s="3080" t="e">
        <f>IF(E1="售价",ROUND(PRODUCT(V37,AC7:AC36),0),ROUND(PRODUCT(V37,AC7:AC36),1))</f>
        <v>#DIV/0!</v>
      </c>
      <c r="W38" s="3080"/>
      <c r="X38" s="737"/>
      <c r="Y38" s="737"/>
      <c r="Z38" s="737"/>
      <c r="AA38" s="737"/>
      <c r="AB38" s="737"/>
      <c r="AC38" s="737"/>
    </row>
    <row r="39" spans="1:29" ht="15.75" thickBot="1">
      <c r="A39" s="473" t="s">
        <v>2511</v>
      </c>
      <c r="B39" s="474"/>
      <c r="C39" s="1507" t="e">
        <f>R39</f>
        <v>#DIV/0!</v>
      </c>
      <c r="D39" s="1507"/>
      <c r="E39" s="1507"/>
      <c r="F39" s="1507"/>
      <c r="G39" s="1507"/>
      <c r="H39" s="1507"/>
      <c r="I39" s="1507"/>
      <c r="J39" s="1507"/>
      <c r="K39" s="605"/>
      <c r="L39" s="1520"/>
      <c r="M39" s="737"/>
      <c r="N39" s="737"/>
      <c r="O39" s="737"/>
      <c r="P39" s="3085" t="str">
        <f>A39</f>
        <v>估价对象XX用房的比较价值（楼面单价，元/平方米）</v>
      </c>
      <c r="Q39" s="3086"/>
      <c r="R39" s="3087" t="e">
        <f>IF(E1="售价",ROUND(AVERAGE(R38:V38),0),ROUND(AVERAGE(R38:V38),1))</f>
        <v>#DIV/0!</v>
      </c>
      <c r="S39" s="3087"/>
      <c r="T39" s="3087"/>
      <c r="U39" s="3087"/>
      <c r="V39" s="3087"/>
      <c r="W39" s="3087"/>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2515</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2516</v>
      </c>
      <c r="B48" s="487"/>
      <c r="C48" s="1673" t="str">
        <f>YEAR(C7)&amp;"-"&amp;MONTH(C7)</f>
        <v>2020-2</v>
      </c>
      <c r="D48" s="1674">
        <f>EDATE(C48,-1)</f>
        <v>43831</v>
      </c>
      <c r="E48" s="1674">
        <f t="shared" ref="E48:O48" si="16">EDATE(D48,-1)</f>
        <v>43800</v>
      </c>
      <c r="F48" s="1674">
        <f t="shared" si="16"/>
        <v>43770</v>
      </c>
      <c r="G48" s="1674">
        <f t="shared" si="16"/>
        <v>43739</v>
      </c>
      <c r="H48" s="1674">
        <f t="shared" si="16"/>
        <v>43709</v>
      </c>
      <c r="I48" s="1674">
        <f t="shared" si="16"/>
        <v>43678</v>
      </c>
      <c r="J48" s="1674">
        <f t="shared" si="16"/>
        <v>43647</v>
      </c>
      <c r="K48" s="1674">
        <f t="shared" si="16"/>
        <v>43617</v>
      </c>
      <c r="L48" s="1674">
        <f t="shared" si="16"/>
        <v>43586</v>
      </c>
      <c r="M48" s="1674">
        <f t="shared" si="16"/>
        <v>43556</v>
      </c>
      <c r="N48" s="1674">
        <f t="shared" si="16"/>
        <v>43525</v>
      </c>
      <c r="O48" s="1674">
        <f t="shared" si="16"/>
        <v>43497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IF(D2="——",IF(C2="元",ROUND(C37*D3,0),ROUND(C37*D3/10000,0)),IF(C2="元",ROUND(C37*D3,0),ROUND(C37*D3/10000,0))-E2)</f>
        <v>#DIV/0!</v>
      </c>
      <c r="C2" s="163" t="str">
        <f>'数据-取费表'!B3</f>
        <v>元</v>
      </c>
      <c r="D2" s="2375"/>
      <c r="E2" s="1733" t="e">
        <f ca="1">SUMIF(INDIRECT("'"&amp;G2&amp;"'"&amp;"!A:A"),"承租人权益价值",INDIRECT("'"&amp;G2&amp;"'"&amp;"!c:c"))</f>
        <v>#REF!</v>
      </c>
      <c r="F2" s="2376" t="str">
        <f>C2</f>
        <v>元</v>
      </c>
      <c r="G2" s="2377"/>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 ca="1">ROUND(IF(D2="——",C37,IF(C2="万元",B2*10000/D3,B2/D3)),0)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2457"/>
      <c r="F7" s="390">
        <f>SUMIF(46:46,YEAR(E7)&amp;"-"&amp;MONTH(E7),47:47)</f>
        <v>0</v>
      </c>
      <c r="G7" s="391"/>
      <c r="H7" s="390">
        <f>SUMIF(46:46,YEAR(G7)&amp;"-"&amp;MONTH(G7),47:47)</f>
        <v>0</v>
      </c>
      <c r="I7" s="391"/>
      <c r="J7" s="390">
        <f>SUMIF(46:46,YEAR(I7)&amp;"-"&amp;MONTH(I7),47:47)</f>
        <v>0</v>
      </c>
      <c r="K7" s="595"/>
      <c r="L7" s="1240"/>
      <c r="M7" s="1241"/>
      <c r="N7" s="1241"/>
      <c r="O7" s="1241"/>
      <c r="P7" s="3075" t="s">
        <v>2343</v>
      </c>
      <c r="Q7" s="3077"/>
      <c r="R7" s="748" t="s">
        <v>25</v>
      </c>
      <c r="S7" s="749">
        <f t="shared" ref="S7:S14" si="0">F7</f>
        <v>0</v>
      </c>
      <c r="T7" s="748" t="s">
        <v>25</v>
      </c>
      <c r="U7" s="749">
        <f t="shared" ref="U7:U14" si="1">H7</f>
        <v>0</v>
      </c>
      <c r="V7" s="748" t="s">
        <v>25</v>
      </c>
      <c r="W7" s="749">
        <f t="shared" ref="W7:W14" si="2">J7</f>
        <v>0</v>
      </c>
      <c r="X7" s="750"/>
      <c r="Y7" s="3075" t="s">
        <v>2343</v>
      </c>
      <c r="Z7" s="3076"/>
      <c r="AA7" s="751" t="e">
        <f>D7/F7</f>
        <v>#DIV/0!</v>
      </c>
      <c r="AB7" s="751" t="e">
        <f>D7/H7</f>
        <v>#DIV/0!</v>
      </c>
      <c r="AC7" s="751"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75" t="s">
        <v>2346</v>
      </c>
      <c r="Q8" s="3076"/>
      <c r="R8" s="748" t="s">
        <v>25</v>
      </c>
      <c r="S8" s="749">
        <f t="shared" si="0"/>
        <v>0</v>
      </c>
      <c r="T8" s="748" t="s">
        <v>25</v>
      </c>
      <c r="U8" s="749">
        <f t="shared" si="1"/>
        <v>0</v>
      </c>
      <c r="V8" s="748" t="s">
        <v>25</v>
      </c>
      <c r="W8" s="749">
        <f t="shared" si="2"/>
        <v>0</v>
      </c>
      <c r="X8" s="750"/>
      <c r="Y8" s="3075" t="s">
        <v>2346</v>
      </c>
      <c r="Z8" s="3076"/>
      <c r="AA8" s="751" t="e">
        <f t="shared" ref="AA8:AA34" si="3">D8/F8</f>
        <v>#DIV/0!</v>
      </c>
      <c r="AB8" s="751" t="e">
        <f t="shared" ref="AB8:AB34" si="4">D8/H8</f>
        <v>#DIV/0!</v>
      </c>
      <c r="AC8" s="751"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79" t="s">
        <v>2349</v>
      </c>
      <c r="Q9" s="1881" t="str">
        <f t="shared" ref="Q9:Q14" si="6">B9</f>
        <v>用途</v>
      </c>
      <c r="R9" s="748" t="s">
        <v>25</v>
      </c>
      <c r="S9" s="749">
        <f t="shared" si="0"/>
        <v>100</v>
      </c>
      <c r="T9" s="748" t="s">
        <v>25</v>
      </c>
      <c r="U9" s="749">
        <f t="shared" si="1"/>
        <v>100</v>
      </c>
      <c r="V9" s="748" t="s">
        <v>25</v>
      </c>
      <c r="W9" s="749">
        <f t="shared" si="2"/>
        <v>100</v>
      </c>
      <c r="X9" s="750"/>
      <c r="Y9" s="2875" t="s">
        <v>2350</v>
      </c>
      <c r="Z9" s="23" t="str">
        <f t="shared" ref="Z9:Z14" si="7">Q9</f>
        <v>用途</v>
      </c>
      <c r="AA9" s="751">
        <f t="shared" si="3"/>
        <v>1</v>
      </c>
      <c r="AB9" s="751">
        <f t="shared" si="4"/>
        <v>1</v>
      </c>
      <c r="AC9" s="751">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79"/>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79"/>
      <c r="Q11" s="1881">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79"/>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6.75">
      <c r="A14" s="419" t="s">
        <v>2353</v>
      </c>
      <c r="B14" s="26" t="s">
        <v>2497</v>
      </c>
      <c r="C14" s="2470"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68" t="s">
        <v>2354</v>
      </c>
      <c r="Q14" s="1893" t="str">
        <f t="shared" si="6"/>
        <v>交通便捷度</v>
      </c>
      <c r="R14" s="752" t="s">
        <v>25</v>
      </c>
      <c r="S14" s="753">
        <f t="shared" si="0"/>
        <v>100</v>
      </c>
      <c r="T14" s="752" t="s">
        <v>25</v>
      </c>
      <c r="U14" s="753">
        <f t="shared" si="1"/>
        <v>100</v>
      </c>
      <c r="V14" s="752" t="s">
        <v>25</v>
      </c>
      <c r="W14" s="753">
        <f t="shared" si="2"/>
        <v>100</v>
      </c>
      <c r="X14" s="1894"/>
      <c r="Y14" s="3068" t="s">
        <v>2354</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69"/>
      <c r="Q15" s="1893"/>
      <c r="R15" s="752"/>
      <c r="S15" s="753"/>
      <c r="T15" s="752"/>
      <c r="U15" s="753"/>
      <c r="V15" s="752"/>
      <c r="W15" s="753"/>
      <c r="X15" s="1894"/>
      <c r="Y15" s="3069"/>
      <c r="Z15" s="1896"/>
      <c r="AA15" s="1897">
        <v>1</v>
      </c>
      <c r="AB15" s="1897">
        <v>1</v>
      </c>
      <c r="AC15" s="1897">
        <v>1</v>
      </c>
    </row>
    <row r="16" spans="1:29" ht="42.75">
      <c r="A16" s="408"/>
      <c r="B16" s="615" t="s">
        <v>2469</v>
      </c>
      <c r="C16" s="2397"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69"/>
      <c r="Q16" s="1893" t="str">
        <f>B16</f>
        <v>公共配套设施</v>
      </c>
      <c r="R16" s="752" t="s">
        <v>25</v>
      </c>
      <c r="S16" s="753">
        <f>F16</f>
        <v>100</v>
      </c>
      <c r="T16" s="752" t="s">
        <v>25</v>
      </c>
      <c r="U16" s="753">
        <f>H16</f>
        <v>100</v>
      </c>
      <c r="V16" s="752" t="s">
        <v>25</v>
      </c>
      <c r="W16" s="753">
        <f>J16</f>
        <v>100</v>
      </c>
      <c r="X16" s="1894"/>
      <c r="Y16" s="306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69"/>
      <c r="Q17" s="1893"/>
      <c r="R17" s="752"/>
      <c r="S17" s="753"/>
      <c r="T17" s="752"/>
      <c r="U17" s="753"/>
      <c r="V17" s="752"/>
      <c r="W17" s="753"/>
      <c r="X17" s="1894"/>
      <c r="Y17" s="3069"/>
      <c r="Z17" s="1896"/>
      <c r="AA17" s="1897">
        <v>1</v>
      </c>
      <c r="AB17" s="1897">
        <v>1</v>
      </c>
      <c r="AC17" s="1897">
        <v>1</v>
      </c>
    </row>
    <row r="18" spans="1:29" ht="42.75">
      <c r="A18" s="408"/>
      <c r="B18" s="617" t="s">
        <v>2470</v>
      </c>
      <c r="C18" s="2397"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69"/>
      <c r="Q18" s="1893" t="str">
        <f>B18</f>
        <v>基础设施水平</v>
      </c>
      <c r="R18" s="752" t="s">
        <v>25</v>
      </c>
      <c r="S18" s="753">
        <f>F18</f>
        <v>100</v>
      </c>
      <c r="T18" s="752" t="s">
        <v>25</v>
      </c>
      <c r="U18" s="753">
        <f>H18</f>
        <v>100</v>
      </c>
      <c r="V18" s="752" t="s">
        <v>25</v>
      </c>
      <c r="W18" s="753">
        <f>J18</f>
        <v>100</v>
      </c>
      <c r="X18" s="1894"/>
      <c r="Y18" s="306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69"/>
      <c r="Q19" s="1893"/>
      <c r="R19" s="752"/>
      <c r="S19" s="753"/>
      <c r="T19" s="752"/>
      <c r="U19" s="753"/>
      <c r="V19" s="752"/>
      <c r="W19" s="753"/>
      <c r="X19" s="1894"/>
      <c r="Y19" s="3069"/>
      <c r="Z19" s="1896"/>
      <c r="AA19" s="1897">
        <v>1</v>
      </c>
      <c r="AB19" s="1897">
        <v>1</v>
      </c>
      <c r="AC19" s="1897">
        <v>1</v>
      </c>
    </row>
    <row r="20" spans="1:29" ht="71.25">
      <c r="A20" s="408"/>
      <c r="B20" s="431" t="s">
        <v>2498</v>
      </c>
      <c r="C20" s="2397"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69"/>
      <c r="Q20" s="1893" t="str">
        <f>B20</f>
        <v>自然及人文环境</v>
      </c>
      <c r="R20" s="752" t="s">
        <v>25</v>
      </c>
      <c r="S20" s="753">
        <f>F20</f>
        <v>100</v>
      </c>
      <c r="T20" s="752" t="s">
        <v>25</v>
      </c>
      <c r="U20" s="753">
        <f>H20</f>
        <v>100</v>
      </c>
      <c r="V20" s="752" t="s">
        <v>25</v>
      </c>
      <c r="W20" s="753">
        <f>J20</f>
        <v>100</v>
      </c>
      <c r="X20" s="1894"/>
      <c r="Y20" s="306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69"/>
      <c r="Q21" s="1893"/>
      <c r="R21" s="752"/>
      <c r="S21" s="753"/>
      <c r="T21" s="752"/>
      <c r="U21" s="753"/>
      <c r="V21" s="752"/>
      <c r="W21" s="753"/>
      <c r="X21" s="1894"/>
      <c r="Y21" s="3069"/>
      <c r="Z21" s="1896"/>
      <c r="AA21" s="1897">
        <v>1</v>
      </c>
      <c r="AB21" s="1897">
        <v>1</v>
      </c>
      <c r="AC21" s="1897">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69"/>
      <c r="Q22" s="1893" t="str">
        <f>B22</f>
        <v>楼层</v>
      </c>
      <c r="R22" s="752" t="s">
        <v>25</v>
      </c>
      <c r="S22" s="753">
        <f>F22</f>
        <v>100</v>
      </c>
      <c r="T22" s="752" t="s">
        <v>25</v>
      </c>
      <c r="U22" s="753">
        <f>H22</f>
        <v>100</v>
      </c>
      <c r="V22" s="752" t="s">
        <v>25</v>
      </c>
      <c r="W22" s="753">
        <f>J22</f>
        <v>100</v>
      </c>
      <c r="X22" s="1894"/>
      <c r="Y22" s="3069"/>
      <c r="Z22" s="1896" t="str">
        <f>Q22</f>
        <v>楼层</v>
      </c>
      <c r="AA22" s="1897">
        <f t="shared" si="3"/>
        <v>1</v>
      </c>
      <c r="AB22" s="1897">
        <f t="shared" si="4"/>
        <v>1</v>
      </c>
      <c r="AC22" s="1897">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69"/>
      <c r="Q23" s="1893">
        <f>B23</f>
        <v>111</v>
      </c>
      <c r="R23" s="752" t="s">
        <v>25</v>
      </c>
      <c r="S23" s="753">
        <f>F23</f>
        <v>100</v>
      </c>
      <c r="T23" s="752" t="s">
        <v>25</v>
      </c>
      <c r="U23" s="753">
        <f>H23</f>
        <v>100</v>
      </c>
      <c r="V23" s="752" t="s">
        <v>25</v>
      </c>
      <c r="W23" s="753">
        <f>J23</f>
        <v>100</v>
      </c>
      <c r="X23" s="1894"/>
      <c r="Y23" s="3069"/>
      <c r="Z23" s="1896">
        <f>Q23</f>
        <v>111</v>
      </c>
      <c r="AA23" s="1897">
        <f t="shared" si="3"/>
        <v>1</v>
      </c>
      <c r="AB23" s="1897">
        <f t="shared" si="4"/>
        <v>1</v>
      </c>
      <c r="AC23" s="1897">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69"/>
      <c r="Q24" s="1893">
        <f t="shared" ref="Q24:Q34" si="11">B24</f>
        <v>111</v>
      </c>
      <c r="R24" s="752" t="s">
        <v>25</v>
      </c>
      <c r="S24" s="753">
        <f>F24</f>
        <v>100</v>
      </c>
      <c r="T24" s="752" t="s">
        <v>25</v>
      </c>
      <c r="U24" s="753">
        <f>H24</f>
        <v>100</v>
      </c>
      <c r="V24" s="752" t="s">
        <v>25</v>
      </c>
      <c r="W24" s="753">
        <f>J24</f>
        <v>100</v>
      </c>
      <c r="X24" s="1894"/>
      <c r="Y24" s="3069"/>
      <c r="Z24" s="1896">
        <f>Q24</f>
        <v>111</v>
      </c>
      <c r="AA24" s="1897">
        <f t="shared" si="3"/>
        <v>1</v>
      </c>
      <c r="AB24" s="1897">
        <f t="shared" si="4"/>
        <v>1</v>
      </c>
      <c r="AC24" s="1897">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40"/>
      <c r="M25" s="1241"/>
      <c r="N25" s="1241"/>
      <c r="O25" s="1242"/>
      <c r="P25" s="3069"/>
      <c r="Q25" s="1881">
        <f t="shared" si="11"/>
        <v>111</v>
      </c>
      <c r="R25" s="748" t="s">
        <v>25</v>
      </c>
      <c r="S25" s="749">
        <f>F25</f>
        <v>100</v>
      </c>
      <c r="T25" s="748" t="s">
        <v>25</v>
      </c>
      <c r="U25" s="749">
        <f>H25</f>
        <v>100</v>
      </c>
      <c r="V25" s="748" t="s">
        <v>25</v>
      </c>
      <c r="W25" s="749">
        <f>J25</f>
        <v>100</v>
      </c>
      <c r="X25" s="750"/>
      <c r="Y25" s="3069"/>
      <c r="Z25" s="23">
        <f>Q25</f>
        <v>111</v>
      </c>
      <c r="AA25" s="1897">
        <f>D25/F25</f>
        <v>1</v>
      </c>
      <c r="AB25" s="1897">
        <f>D25/H25</f>
        <v>1</v>
      </c>
      <c r="AC25" s="1897">
        <f>D25/J25</f>
        <v>1</v>
      </c>
    </row>
    <row r="26" spans="1:29" ht="28.5">
      <c r="A26" s="447" t="s">
        <v>2358</v>
      </c>
      <c r="B26" s="28" t="s">
        <v>2502</v>
      </c>
      <c r="C26" s="2464"/>
      <c r="D26" s="448">
        <v>100</v>
      </c>
      <c r="E26" s="2464"/>
      <c r="F26" s="650">
        <f>SUMIF(77:77,E26,78:78)-SUMIF(77:77,C26,78:78)+100</f>
        <v>100</v>
      </c>
      <c r="G26" s="2464"/>
      <c r="H26" s="448">
        <f>SUMIF(77:77,G26,78:78)-SUMIF(77:77,C26,78:78)+100</f>
        <v>100</v>
      </c>
      <c r="I26" s="2464"/>
      <c r="J26" s="448">
        <f>SUMIF(77:77,I26,78:78)-SUMIF(77:77,C26,78:78)+100</f>
        <v>100</v>
      </c>
      <c r="K26" s="596"/>
      <c r="L26" s="1248"/>
      <c r="M26" s="1239"/>
      <c r="N26" s="1239"/>
      <c r="O26" s="1247"/>
      <c r="P26" s="3101" t="s">
        <v>2360</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73" t="s">
        <v>2360</v>
      </c>
      <c r="Z26" s="1896" t="str">
        <f t="shared" ref="Z26:Z34" si="15">Q26</f>
        <v>公共部分装修</v>
      </c>
      <c r="AA26" s="1897">
        <f t="shared" si="3"/>
        <v>1</v>
      </c>
      <c r="AB26" s="1897">
        <f t="shared" si="4"/>
        <v>1</v>
      </c>
      <c r="AC26" s="1897">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73"/>
      <c r="Q27" s="754" t="str">
        <f t="shared" si="11"/>
        <v>成新率</v>
      </c>
      <c r="R27" s="755" t="s">
        <v>25</v>
      </c>
      <c r="S27" s="756" t="e">
        <f t="shared" si="12"/>
        <v>#N/A</v>
      </c>
      <c r="T27" s="755" t="s">
        <v>25</v>
      </c>
      <c r="U27" s="756" t="e">
        <f t="shared" si="13"/>
        <v>#N/A</v>
      </c>
      <c r="V27" s="755" t="s">
        <v>25</v>
      </c>
      <c r="W27" s="756" t="e">
        <f t="shared" si="14"/>
        <v>#N/A</v>
      </c>
      <c r="X27" s="757"/>
      <c r="Y27" s="3073"/>
      <c r="Z27" s="758" t="str">
        <f t="shared" si="15"/>
        <v>成新率</v>
      </c>
      <c r="AA27" s="1897" t="e">
        <f t="shared" si="3"/>
        <v>#N/A</v>
      </c>
      <c r="AB27" s="1897" t="e">
        <f t="shared" si="4"/>
        <v>#N/A</v>
      </c>
      <c r="AC27" s="1897"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73"/>
      <c r="Q28" s="1893" t="str">
        <f t="shared" si="11"/>
        <v>物业等级</v>
      </c>
      <c r="R28" s="752" t="s">
        <v>25</v>
      </c>
      <c r="S28" s="753">
        <f t="shared" si="12"/>
        <v>100</v>
      </c>
      <c r="T28" s="752" t="s">
        <v>25</v>
      </c>
      <c r="U28" s="753">
        <f t="shared" si="13"/>
        <v>100</v>
      </c>
      <c r="V28" s="752" t="s">
        <v>25</v>
      </c>
      <c r="W28" s="753">
        <f t="shared" si="14"/>
        <v>100</v>
      </c>
      <c r="X28" s="1894"/>
      <c r="Y28" s="3073"/>
      <c r="Z28" s="1896" t="str">
        <f t="shared" si="15"/>
        <v>物业等级</v>
      </c>
      <c r="AA28" s="1897">
        <f t="shared" si="3"/>
        <v>1</v>
      </c>
      <c r="AB28" s="1897">
        <f t="shared" si="4"/>
        <v>1</v>
      </c>
      <c r="AC28" s="1897">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73"/>
      <c r="Q29" s="1893" t="str">
        <f t="shared" si="11"/>
        <v>有无电梯</v>
      </c>
      <c r="R29" s="752" t="s">
        <v>25</v>
      </c>
      <c r="S29" s="753">
        <f t="shared" si="12"/>
        <v>100</v>
      </c>
      <c r="T29" s="752" t="s">
        <v>25</v>
      </c>
      <c r="U29" s="753">
        <f t="shared" si="13"/>
        <v>100</v>
      </c>
      <c r="V29" s="752" t="s">
        <v>25</v>
      </c>
      <c r="W29" s="753">
        <f t="shared" si="14"/>
        <v>100</v>
      </c>
      <c r="X29" s="1894"/>
      <c r="Y29" s="3073"/>
      <c r="Z29" s="1896" t="str">
        <f t="shared" si="15"/>
        <v>有无电梯</v>
      </c>
      <c r="AA29" s="1897">
        <f t="shared" si="3"/>
        <v>1</v>
      </c>
      <c r="AB29" s="1897">
        <f t="shared" si="4"/>
        <v>1</v>
      </c>
      <c r="AC29" s="1897">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73"/>
      <c r="Q30" s="1893" t="str">
        <f t="shared" si="11"/>
        <v>建筑面积</v>
      </c>
      <c r="R30" s="752" t="s">
        <v>25</v>
      </c>
      <c r="S30" s="753" t="e">
        <f t="shared" si="12"/>
        <v>#N/A</v>
      </c>
      <c r="T30" s="752" t="s">
        <v>25</v>
      </c>
      <c r="U30" s="753" t="e">
        <f t="shared" si="13"/>
        <v>#N/A</v>
      </c>
      <c r="V30" s="752" t="s">
        <v>25</v>
      </c>
      <c r="W30" s="753" t="e">
        <f t="shared" si="14"/>
        <v>#N/A</v>
      </c>
      <c r="X30" s="1894"/>
      <c r="Y30" s="3073"/>
      <c r="Z30" s="1896" t="str">
        <f t="shared" si="15"/>
        <v>建筑面积</v>
      </c>
      <c r="AA30" s="1897" t="e">
        <f t="shared" si="3"/>
        <v>#N/A</v>
      </c>
      <c r="AB30" s="1897" t="e">
        <f t="shared" si="4"/>
        <v>#N/A</v>
      </c>
      <c r="AC30" s="1897"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73"/>
      <c r="Q31" s="1881" t="str">
        <f t="shared" si="11"/>
        <v>是否封闭</v>
      </c>
      <c r="R31" s="748" t="s">
        <v>25</v>
      </c>
      <c r="S31" s="749">
        <f t="shared" si="12"/>
        <v>100</v>
      </c>
      <c r="T31" s="748" t="s">
        <v>25</v>
      </c>
      <c r="U31" s="749">
        <f t="shared" si="13"/>
        <v>100</v>
      </c>
      <c r="V31" s="748" t="s">
        <v>25</v>
      </c>
      <c r="W31" s="749">
        <f t="shared" si="14"/>
        <v>100</v>
      </c>
      <c r="X31" s="750"/>
      <c r="Y31" s="3073"/>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73" t="s">
        <v>2360</v>
      </c>
      <c r="Q32" s="1893">
        <f t="shared" si="11"/>
        <v>111</v>
      </c>
      <c r="R32" s="752" t="s">
        <v>25</v>
      </c>
      <c r="S32" s="753">
        <f t="shared" si="12"/>
        <v>100</v>
      </c>
      <c r="T32" s="752" t="s">
        <v>25</v>
      </c>
      <c r="U32" s="753">
        <f t="shared" si="13"/>
        <v>100</v>
      </c>
      <c r="V32" s="752" t="s">
        <v>25</v>
      </c>
      <c r="W32" s="753">
        <f t="shared" si="14"/>
        <v>100</v>
      </c>
      <c r="X32" s="1894"/>
      <c r="Y32" s="3073" t="s">
        <v>2360</v>
      </c>
      <c r="Z32" s="1896">
        <f t="shared" si="15"/>
        <v>111</v>
      </c>
      <c r="AA32" s="1897">
        <f t="shared" si="3"/>
        <v>1</v>
      </c>
      <c r="AB32" s="1897">
        <f t="shared" si="4"/>
        <v>1</v>
      </c>
      <c r="AC32" s="1897">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73"/>
      <c r="Q33" s="1893">
        <f t="shared" si="11"/>
        <v>111</v>
      </c>
      <c r="R33" s="752" t="s">
        <v>25</v>
      </c>
      <c r="S33" s="753">
        <f t="shared" si="12"/>
        <v>100</v>
      </c>
      <c r="T33" s="752" t="s">
        <v>25</v>
      </c>
      <c r="U33" s="753">
        <f t="shared" si="13"/>
        <v>100</v>
      </c>
      <c r="V33" s="752" t="s">
        <v>25</v>
      </c>
      <c r="W33" s="753">
        <f t="shared" si="14"/>
        <v>100</v>
      </c>
      <c r="X33" s="1894"/>
      <c r="Y33" s="3073"/>
      <c r="Z33" s="1896">
        <f t="shared" si="15"/>
        <v>111</v>
      </c>
      <c r="AA33" s="1897">
        <f t="shared" si="3"/>
        <v>1</v>
      </c>
      <c r="AB33" s="1897">
        <f t="shared" si="4"/>
        <v>1</v>
      </c>
      <c r="AC33" s="1897">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8"/>
      <c r="M34" s="1239"/>
      <c r="N34" s="1239"/>
      <c r="O34" s="1247"/>
      <c r="P34" s="3073"/>
      <c r="Q34" s="1893">
        <f t="shared" si="11"/>
        <v>111</v>
      </c>
      <c r="R34" s="752" t="s">
        <v>25</v>
      </c>
      <c r="S34" s="753">
        <f t="shared" si="12"/>
        <v>100</v>
      </c>
      <c r="T34" s="752" t="s">
        <v>25</v>
      </c>
      <c r="U34" s="753">
        <f t="shared" si="13"/>
        <v>100</v>
      </c>
      <c r="V34" s="752" t="s">
        <v>25</v>
      </c>
      <c r="W34" s="753">
        <f t="shared" si="14"/>
        <v>100</v>
      </c>
      <c r="X34" s="1894"/>
      <c r="Y34" s="3073"/>
      <c r="Z34" s="1896">
        <f t="shared" si="15"/>
        <v>111</v>
      </c>
      <c r="AA34" s="1897">
        <f t="shared" si="3"/>
        <v>1</v>
      </c>
      <c r="AB34" s="1897">
        <f t="shared" si="4"/>
        <v>1</v>
      </c>
      <c r="AC34" s="1897">
        <f t="shared" si="5"/>
        <v>1</v>
      </c>
    </row>
    <row r="35" spans="1:29" ht="15">
      <c r="A35" s="460" t="s">
        <v>2372</v>
      </c>
      <c r="B35" s="461"/>
      <c r="C35" s="1497" t="s">
        <v>1</v>
      </c>
      <c r="D35" s="1498"/>
      <c r="E35" s="1499"/>
      <c r="F35" s="1500"/>
      <c r="G35" s="1501"/>
      <c r="H35" s="1502"/>
      <c r="I35" s="1499"/>
      <c r="J35" s="1502"/>
      <c r="K35" s="761"/>
      <c r="L35" s="1251"/>
      <c r="M35" s="1252"/>
      <c r="N35" s="1239"/>
      <c r="O35" s="1252"/>
      <c r="P35" s="3079" t="str">
        <f>A35</f>
        <v>成交单价（元/平方米）</v>
      </c>
      <c r="Q35" s="3079"/>
      <c r="R35" s="3080">
        <f>E35</f>
        <v>0</v>
      </c>
      <c r="S35" s="3080"/>
      <c r="T35" s="3080">
        <f>G35</f>
        <v>0</v>
      </c>
      <c r="U35" s="3080"/>
      <c r="V35" s="3080">
        <f>I35</f>
        <v>0</v>
      </c>
      <c r="W35" s="3080"/>
      <c r="X35" s="737"/>
      <c r="Y35" s="759"/>
      <c r="Z35" s="737"/>
      <c r="AA35" s="737"/>
      <c r="AB35" s="737"/>
      <c r="AC35" s="737"/>
    </row>
    <row r="36" spans="1:29" ht="15.75" thickBot="1">
      <c r="A36" s="467" t="s">
        <v>2455</v>
      </c>
      <c r="B36" s="468"/>
      <c r="C36" s="1503" t="e">
        <f>R37</f>
        <v>#DIV/0!</v>
      </c>
      <c r="D36" s="1504"/>
      <c r="E36" s="1505" t="e">
        <f>R36</f>
        <v>#DIV/0!</v>
      </c>
      <c r="F36" s="1505"/>
      <c r="G36" s="1503" t="e">
        <f>T36</f>
        <v>#DIV/0!</v>
      </c>
      <c r="H36" s="1504"/>
      <c r="I36" s="1505" t="e">
        <f>V36</f>
        <v>#DIV/0!</v>
      </c>
      <c r="J36" s="1504"/>
      <c r="K36" s="762"/>
      <c r="L36" s="1251"/>
      <c r="M36" s="1252"/>
      <c r="N36" s="1239"/>
      <c r="O36" s="1252"/>
      <c r="P36" s="3079" t="str">
        <f>A36</f>
        <v>比较价值（元/平方米）</v>
      </c>
      <c r="Q36" s="3079"/>
      <c r="R36" s="3080" t="e">
        <f>IF(E1="售价",ROUND(PRODUCT(R35,AA7:AA34),0),ROUND(PRODUCT(R35,AA7:AA34),1))</f>
        <v>#DIV/0!</v>
      </c>
      <c r="S36" s="3080"/>
      <c r="T36" s="3080" t="e">
        <f>IF(E1="售价",ROUND(PRODUCT(T35,AB7:AB34),0),ROUND(PRODUCT(T35,AB7:AB34),1))</f>
        <v>#DIV/0!</v>
      </c>
      <c r="U36" s="3080"/>
      <c r="V36" s="3080" t="e">
        <f>IF(E1="售价",ROUND(PRODUCT(V35,AC7:AC34),0),ROUND(PRODUCT(V35,AC7:AC34),1))</f>
        <v>#DIV/0!</v>
      </c>
      <c r="W36" s="3080"/>
      <c r="X36" s="737"/>
      <c r="Y36" s="737"/>
      <c r="Z36" s="737"/>
      <c r="AA36" s="737"/>
      <c r="AB36" s="737"/>
      <c r="AC36" s="737"/>
    </row>
    <row r="37" spans="1:29" ht="15.75" thickBot="1">
      <c r="A37" s="473" t="s">
        <v>2478</v>
      </c>
      <c r="B37" s="474"/>
      <c r="C37" s="1507" t="e">
        <f>R37</f>
        <v>#DIV/0!</v>
      </c>
      <c r="D37" s="1507"/>
      <c r="E37" s="1507"/>
      <c r="F37" s="1507"/>
      <c r="G37" s="1507"/>
      <c r="H37" s="1507"/>
      <c r="I37" s="1507"/>
      <c r="J37" s="1507"/>
      <c r="K37" s="763"/>
      <c r="L37" s="1251"/>
      <c r="M37" s="1252"/>
      <c r="N37" s="1252"/>
      <c r="O37" s="1252"/>
      <c r="P37" s="3085" t="str">
        <f>A37</f>
        <v>估价对象XX用房的比较价值（楼面单价，元/平方米）</v>
      </c>
      <c r="Q37" s="3086"/>
      <c r="R37" s="3087" t="e">
        <f>IF(E1="售价",ROUND(AVERAGE(R36:V36),0),ROUND(AVERAGE(R36:V36),1))</f>
        <v>#DIV/0!</v>
      </c>
      <c r="S37" s="3087"/>
      <c r="T37" s="3087"/>
      <c r="U37" s="3087"/>
      <c r="V37" s="3087"/>
      <c r="W37" s="3087"/>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2460</v>
      </c>
      <c r="B45" s="737"/>
      <c r="C45" s="742"/>
      <c r="D45" s="742"/>
      <c r="E45" s="742"/>
      <c r="F45" s="743"/>
      <c r="G45" s="743"/>
      <c r="H45" s="742"/>
      <c r="I45" s="742"/>
      <c r="J45" s="742"/>
      <c r="K45" s="744"/>
      <c r="L45" s="745"/>
      <c r="M45" s="742"/>
      <c r="N45" s="742"/>
      <c r="O45" s="742"/>
      <c r="P45" s="484"/>
      <c r="Q45" s="485"/>
    </row>
    <row r="46" spans="1:29" s="489" customFormat="1" ht="15">
      <c r="A46" s="486" t="s">
        <v>2342</v>
      </c>
      <c r="B46" s="487"/>
      <c r="C46" s="1673" t="str">
        <f>YEAR(C7)&amp;"-"&amp;MONTH(C7)</f>
        <v>2020-2</v>
      </c>
      <c r="D46" s="1674">
        <f>EDATE(C46,-1)</f>
        <v>43831</v>
      </c>
      <c r="E46" s="1674">
        <f t="shared" ref="E46:O46" si="16">EDATE(D46,-1)</f>
        <v>43800</v>
      </c>
      <c r="F46" s="1674">
        <f t="shared" si="16"/>
        <v>43770</v>
      </c>
      <c r="G46" s="1674">
        <f t="shared" si="16"/>
        <v>43739</v>
      </c>
      <c r="H46" s="1674">
        <f t="shared" si="16"/>
        <v>43709</v>
      </c>
      <c r="I46" s="1674">
        <f t="shared" si="16"/>
        <v>43678</v>
      </c>
      <c r="J46" s="1674">
        <f t="shared" si="16"/>
        <v>43647</v>
      </c>
      <c r="K46" s="1674">
        <f t="shared" si="16"/>
        <v>43617</v>
      </c>
      <c r="L46" s="1674">
        <f t="shared" si="16"/>
        <v>43586</v>
      </c>
      <c r="M46" s="1674">
        <f t="shared" si="16"/>
        <v>43556</v>
      </c>
      <c r="N46" s="1674">
        <f t="shared" si="16"/>
        <v>43525</v>
      </c>
      <c r="O46" s="1674">
        <f t="shared" si="16"/>
        <v>43497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2383</v>
      </c>
      <c r="B51" s="509" t="s">
        <v>2348</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2517</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2358</v>
      </c>
      <c r="B77" s="509" t="s">
        <v>2411</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2521</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2528</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2530</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1997</v>
      </c>
      <c r="B2" s="654" t="e">
        <f>F66</f>
        <v>#DIV/0!</v>
      </c>
      <c r="C2" s="731" t="s">
        <v>2533</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30"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45"/>
      <c r="AC5" s="3045"/>
    </row>
    <row r="6" spans="1:30"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46"/>
      <c r="AC6" s="3046"/>
    </row>
    <row r="7" spans="1:30" s="35" customFormat="1" ht="15.75" thickBot="1">
      <c r="A7" s="387" t="s">
        <v>2342</v>
      </c>
      <c r="B7" s="388"/>
      <c r="C7" s="389">
        <f>'数据-取费表'!B2</f>
        <v>43888</v>
      </c>
      <c r="D7" s="390">
        <v>100</v>
      </c>
      <c r="E7" s="391"/>
      <c r="F7" s="392">
        <f>SUMIF(70:70,YEAR(E7)&amp;"-"&amp;INT((MONTH(E7)+2)/3),71:71)</f>
        <v>0</v>
      </c>
      <c r="G7" s="2457"/>
      <c r="H7" s="390">
        <f>SUMIF(70:70,YEAR(G7)&amp;"-"&amp;INT((MONTH(G7)+2)/3),71:71)</f>
        <v>0</v>
      </c>
      <c r="I7" s="2457"/>
      <c r="J7" s="390">
        <f>SUMIF(70:70,YEAR(I7)&amp;"-"&amp;INT((MONTH(I7)+2)/3),71:71)</f>
        <v>0</v>
      </c>
      <c r="K7" s="595"/>
      <c r="L7" s="1240"/>
      <c r="M7" s="1241"/>
      <c r="N7" s="1241"/>
      <c r="O7" s="1241"/>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75" t="s">
        <v>2346</v>
      </c>
      <c r="Q8" s="3076"/>
      <c r="R8" s="748" t="s">
        <v>25</v>
      </c>
      <c r="S8" s="749">
        <f t="shared" si="0"/>
        <v>0</v>
      </c>
      <c r="T8" s="748" t="s">
        <v>25</v>
      </c>
      <c r="U8" s="749">
        <f t="shared" si="1"/>
        <v>0</v>
      </c>
      <c r="V8" s="748" t="s">
        <v>25</v>
      </c>
      <c r="W8" s="749">
        <f t="shared" si="2"/>
        <v>0</v>
      </c>
      <c r="X8" s="750"/>
      <c r="Y8" s="3075" t="s">
        <v>2346</v>
      </c>
      <c r="Z8" s="3076"/>
      <c r="AA8" s="751" t="e">
        <f t="shared" ref="AA8:AA45" si="3">D8/F8</f>
        <v>#DIV/0!</v>
      </c>
      <c r="AB8" s="751" t="e">
        <f t="shared" ref="AB8:AB45" si="4">D8/H8</f>
        <v>#DIV/0!</v>
      </c>
      <c r="AC8" s="751" t="e">
        <f t="shared" ref="AC8:AC45" si="5">D8/J8</f>
        <v>#DIV/0!</v>
      </c>
    </row>
    <row r="9" spans="1:30" s="35" customFormat="1">
      <c r="A9" s="395" t="s">
        <v>2347</v>
      </c>
      <c r="B9" s="28" t="s">
        <v>2348</v>
      </c>
      <c r="C9" s="2475"/>
      <c r="D9" s="51">
        <v>100</v>
      </c>
      <c r="E9" s="2475"/>
      <c r="F9" s="51">
        <f>SUMIF(75:75,E9,76:76)-SUMIF(75:75,C9,76:76)+100</f>
        <v>100</v>
      </c>
      <c r="G9" s="2475"/>
      <c r="H9" s="51">
        <f>SUMIF(75:75,G9,76:76)-SUMIF(75:75,C9,76:76)+100</f>
        <v>100</v>
      </c>
      <c r="I9" s="2475"/>
      <c r="J9" s="51">
        <f>SUMIF(75:75,I9,76:76)-SUMIF(75:75,C9,76:76)+100</f>
        <v>100</v>
      </c>
      <c r="K9" s="595"/>
      <c r="L9" s="1240"/>
      <c r="M9" s="1241"/>
      <c r="N9" s="1241"/>
      <c r="O9" s="1242"/>
      <c r="P9" s="3079"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30" s="407" customFormat="1" ht="27">
      <c r="A10" s="401"/>
      <c r="B10" s="402" t="s">
        <v>2351</v>
      </c>
      <c r="C10" s="412"/>
      <c r="D10" s="52">
        <v>100</v>
      </c>
      <c r="E10" s="446"/>
      <c r="F10" s="52">
        <f>ROUND(100/'数据-取费表'!B14,0)</f>
        <v>108</v>
      </c>
      <c r="G10" s="444"/>
      <c r="H10" s="52">
        <f>ROUND(100/'数据-取费表'!B14,0)</f>
        <v>108</v>
      </c>
      <c r="I10" s="444"/>
      <c r="J10" s="52">
        <f>ROUND(100/'数据-取费表'!B14,0)</f>
        <v>108</v>
      </c>
      <c r="K10" s="655"/>
      <c r="L10" s="1243"/>
      <c r="M10" s="1244"/>
      <c r="N10" s="1244"/>
      <c r="O10" s="1245"/>
      <c r="P10" s="3079"/>
      <c r="Q10" s="1881" t="str">
        <f t="shared" si="6"/>
        <v>土地使用年限（年）</v>
      </c>
      <c r="R10" s="748" t="s">
        <v>25</v>
      </c>
      <c r="S10" s="749">
        <f t="shared" si="0"/>
        <v>108</v>
      </c>
      <c r="T10" s="748" t="s">
        <v>25</v>
      </c>
      <c r="U10" s="749">
        <f t="shared" si="1"/>
        <v>108</v>
      </c>
      <c r="V10" s="748" t="s">
        <v>25</v>
      </c>
      <c r="W10" s="749">
        <f t="shared" si="2"/>
        <v>108</v>
      </c>
      <c r="X10" s="750"/>
      <c r="Y10" s="2875"/>
      <c r="Z10" s="23" t="str">
        <f t="shared" si="7"/>
        <v>土地使用年限（年）</v>
      </c>
      <c r="AA10" s="751">
        <f t="shared" si="3"/>
        <v>0.92592592592592593</v>
      </c>
      <c r="AB10" s="751">
        <f t="shared" si="4"/>
        <v>0.92592592592592593</v>
      </c>
      <c r="AC10" s="751">
        <f t="shared" si="5"/>
        <v>0.92592592592592593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79"/>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30" s="35" customFormat="1" ht="15">
      <c r="A12" s="411"/>
      <c r="B12" s="2390" t="s">
        <v>2536</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79"/>
      <c r="Q12" s="1881" t="str">
        <f t="shared" si="6"/>
        <v>配建</v>
      </c>
      <c r="R12" s="748" t="s">
        <v>25</v>
      </c>
      <c r="S12" s="749">
        <f t="shared" si="0"/>
        <v>100</v>
      </c>
      <c r="T12" s="748" t="s">
        <v>25</v>
      </c>
      <c r="U12" s="749">
        <f t="shared" si="1"/>
        <v>100</v>
      </c>
      <c r="V12" s="748" t="s">
        <v>25</v>
      </c>
      <c r="W12" s="749">
        <f t="shared" si="2"/>
        <v>100</v>
      </c>
      <c r="X12" s="750"/>
      <c r="Y12" s="2875"/>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79"/>
      <c r="Q14" s="1881">
        <f t="shared" si="6"/>
        <v>111</v>
      </c>
      <c r="R14" s="748" t="s">
        <v>25</v>
      </c>
      <c r="S14" s="749">
        <f t="shared" si="0"/>
        <v>100</v>
      </c>
      <c r="T14" s="748" t="s">
        <v>25</v>
      </c>
      <c r="U14" s="749">
        <f t="shared" si="1"/>
        <v>100</v>
      </c>
      <c r="V14" s="748" t="s">
        <v>25</v>
      </c>
      <c r="W14" s="749">
        <f t="shared" si="2"/>
        <v>100</v>
      </c>
      <c r="X14" s="750"/>
      <c r="Y14" s="2875"/>
      <c r="Z14" s="23">
        <f t="shared" si="7"/>
        <v>111</v>
      </c>
      <c r="AA14" s="751">
        <f>D14/F14</f>
        <v>1</v>
      </c>
      <c r="AB14" s="751">
        <f>D14/H14</f>
        <v>1</v>
      </c>
      <c r="AC14" s="751">
        <f>D14/J14</f>
        <v>1</v>
      </c>
    </row>
    <row r="15" spans="1:30" ht="142.5">
      <c r="A15" s="380" t="s">
        <v>2353</v>
      </c>
      <c r="B15" s="1482" t="s">
        <v>1731</v>
      </c>
      <c r="C15" s="2458"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68" t="s">
        <v>2354</v>
      </c>
      <c r="Q15" s="1893" t="str">
        <f t="shared" si="6"/>
        <v>居住社区成熟度</v>
      </c>
      <c r="R15" s="752" t="s">
        <v>25</v>
      </c>
      <c r="S15" s="753">
        <f t="shared" si="0"/>
        <v>100</v>
      </c>
      <c r="T15" s="752" t="s">
        <v>25</v>
      </c>
      <c r="U15" s="753">
        <f t="shared" si="1"/>
        <v>100</v>
      </c>
      <c r="V15" s="752" t="s">
        <v>25</v>
      </c>
      <c r="W15" s="753">
        <f t="shared" si="2"/>
        <v>100</v>
      </c>
      <c r="X15" s="1894"/>
      <c r="Y15" s="3068" t="s">
        <v>2354</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5"/>
      <c r="J16" s="427"/>
      <c r="K16" s="655"/>
      <c r="L16" s="1248"/>
      <c r="M16" s="1239"/>
      <c r="N16" s="1239"/>
      <c r="O16" s="1247"/>
      <c r="P16" s="3069"/>
      <c r="Q16" s="1893"/>
      <c r="R16" s="752"/>
      <c r="S16" s="753"/>
      <c r="T16" s="752"/>
      <c r="U16" s="753"/>
      <c r="V16" s="752"/>
      <c r="W16" s="753"/>
      <c r="X16" s="1894"/>
      <c r="Y16" s="3069"/>
      <c r="Z16" s="1896"/>
      <c r="AA16" s="1897">
        <v>1</v>
      </c>
      <c r="AB16" s="1897">
        <v>1</v>
      </c>
      <c r="AC16" s="1897">
        <v>1</v>
      </c>
    </row>
    <row r="17" spans="1:29" ht="15">
      <c r="A17" s="383"/>
      <c r="B17" s="1484" t="s">
        <v>2439</v>
      </c>
      <c r="C17" s="247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69"/>
      <c r="Q17" s="1893" t="str">
        <f>B17</f>
        <v>商业繁华度</v>
      </c>
      <c r="R17" s="752" t="s">
        <v>25</v>
      </c>
      <c r="S17" s="753">
        <f>F17</f>
        <v>100</v>
      </c>
      <c r="T17" s="752" t="s">
        <v>25</v>
      </c>
      <c r="U17" s="753">
        <f>H17</f>
        <v>100</v>
      </c>
      <c r="V17" s="752" t="s">
        <v>25</v>
      </c>
      <c r="W17" s="753">
        <f>J17</f>
        <v>100</v>
      </c>
      <c r="X17" s="1894"/>
      <c r="Y17" s="3069"/>
      <c r="Z17" s="1896" t="str">
        <f>Q17</f>
        <v>商业繁华度</v>
      </c>
      <c r="AA17" s="1897">
        <f t="shared" si="3"/>
        <v>1</v>
      </c>
      <c r="AB17" s="1897">
        <f t="shared" si="4"/>
        <v>1</v>
      </c>
      <c r="AC17" s="1897">
        <f t="shared" si="5"/>
        <v>1</v>
      </c>
    </row>
    <row r="18" spans="1:29" ht="15">
      <c r="A18" s="383"/>
      <c r="B18" s="1485"/>
      <c r="C18" s="2460"/>
      <c r="D18" s="430"/>
      <c r="E18" s="1463"/>
      <c r="F18" s="430"/>
      <c r="G18" s="1463"/>
      <c r="H18" s="427"/>
      <c r="I18" s="2398"/>
      <c r="J18" s="427"/>
      <c r="K18" s="655"/>
      <c r="L18" s="1248"/>
      <c r="M18" s="1239"/>
      <c r="N18" s="1239"/>
      <c r="O18" s="1247"/>
      <c r="P18" s="3069"/>
      <c r="Q18" s="1893"/>
      <c r="R18" s="752"/>
      <c r="S18" s="753"/>
      <c r="T18" s="752"/>
      <c r="U18" s="753"/>
      <c r="V18" s="752"/>
      <c r="W18" s="753"/>
      <c r="X18" s="1894"/>
      <c r="Y18" s="3069"/>
      <c r="Z18" s="1896"/>
      <c r="AA18" s="1897">
        <v>1</v>
      </c>
      <c r="AB18" s="1897">
        <v>1</v>
      </c>
      <c r="AC18" s="1897">
        <v>1</v>
      </c>
    </row>
    <row r="19" spans="1:29" ht="15">
      <c r="A19" s="383"/>
      <c r="B19" s="1484" t="s">
        <v>2468</v>
      </c>
      <c r="C19" s="247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69"/>
      <c r="Q19" s="1893" t="str">
        <f>B19</f>
        <v>办公集聚程度</v>
      </c>
      <c r="R19" s="752" t="s">
        <v>25</v>
      </c>
      <c r="S19" s="753">
        <f>F19</f>
        <v>100</v>
      </c>
      <c r="T19" s="752" t="s">
        <v>25</v>
      </c>
      <c r="U19" s="753">
        <f>H19</f>
        <v>100</v>
      </c>
      <c r="V19" s="752" t="s">
        <v>25</v>
      </c>
      <c r="W19" s="753">
        <f>J19</f>
        <v>100</v>
      </c>
      <c r="X19" s="1894"/>
      <c r="Y19" s="306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5"/>
      <c r="J20" s="427"/>
      <c r="K20" s="655"/>
      <c r="L20" s="1248"/>
      <c r="M20" s="1239"/>
      <c r="N20" s="1239"/>
      <c r="O20" s="1247"/>
      <c r="P20" s="3069"/>
      <c r="Q20" s="1893"/>
      <c r="R20" s="752"/>
      <c r="S20" s="753"/>
      <c r="T20" s="752"/>
      <c r="U20" s="753"/>
      <c r="V20" s="752"/>
      <c r="W20" s="753"/>
      <c r="X20" s="1894"/>
      <c r="Y20" s="3069"/>
      <c r="Z20" s="1896"/>
      <c r="AA20" s="1897">
        <v>1</v>
      </c>
      <c r="AB20" s="1897">
        <v>1</v>
      </c>
      <c r="AC20" s="1897">
        <v>1</v>
      </c>
    </row>
    <row r="21" spans="1:29" ht="156.75">
      <c r="A21" s="383"/>
      <c r="B21" s="1484" t="s">
        <v>2497</v>
      </c>
      <c r="C21" s="2459"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69"/>
      <c r="Q21" s="1893" t="str">
        <f>B21</f>
        <v>交通便捷度</v>
      </c>
      <c r="R21" s="752" t="s">
        <v>25</v>
      </c>
      <c r="S21" s="753">
        <f>F21</f>
        <v>100</v>
      </c>
      <c r="T21" s="752" t="s">
        <v>25</v>
      </c>
      <c r="U21" s="753">
        <f>H21</f>
        <v>100</v>
      </c>
      <c r="V21" s="752" t="s">
        <v>25</v>
      </c>
      <c r="W21" s="753">
        <f>J21</f>
        <v>100</v>
      </c>
      <c r="X21" s="1894"/>
      <c r="Y21" s="306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5"/>
      <c r="J22" s="427"/>
      <c r="K22" s="655"/>
      <c r="L22" s="1248"/>
      <c r="M22" s="1239"/>
      <c r="N22" s="1239"/>
      <c r="O22" s="1247"/>
      <c r="P22" s="3069"/>
      <c r="Q22" s="1893"/>
      <c r="R22" s="752"/>
      <c r="S22" s="753"/>
      <c r="T22" s="752"/>
      <c r="U22" s="753"/>
      <c r="V22" s="752"/>
      <c r="W22" s="753"/>
      <c r="X22" s="1894"/>
      <c r="Y22" s="3069"/>
      <c r="Z22" s="1896"/>
      <c r="AA22" s="1897">
        <v>1</v>
      </c>
      <c r="AB22" s="1897">
        <v>1</v>
      </c>
      <c r="AC22" s="1897">
        <v>1</v>
      </c>
    </row>
    <row r="23" spans="1:29" ht="15">
      <c r="A23" s="383"/>
      <c r="B23" s="1487" t="s">
        <v>2537</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69"/>
      <c r="Q23" s="1893" t="str">
        <f t="shared" ref="Q23:Q37" si="8">B23</f>
        <v>区域土地利用方向</v>
      </c>
      <c r="R23" s="752" t="s">
        <v>25</v>
      </c>
      <c r="S23" s="753">
        <f>F23</f>
        <v>100</v>
      </c>
      <c r="T23" s="752" t="s">
        <v>25</v>
      </c>
      <c r="U23" s="753">
        <f>H23</f>
        <v>100</v>
      </c>
      <c r="V23" s="752" t="s">
        <v>25</v>
      </c>
      <c r="W23" s="753">
        <f>J23</f>
        <v>100</v>
      </c>
      <c r="X23" s="1894"/>
      <c r="Y23" s="3069"/>
      <c r="Z23" s="1896" t="str">
        <f>Q23</f>
        <v>区域土地利用方向</v>
      </c>
      <c r="AA23" s="1897">
        <f t="shared" si="3"/>
        <v>1</v>
      </c>
      <c r="AB23" s="1897">
        <f t="shared" si="4"/>
        <v>1</v>
      </c>
      <c r="AC23" s="1897">
        <f t="shared" si="5"/>
        <v>1</v>
      </c>
    </row>
    <row r="24" spans="1:29" ht="15">
      <c r="A24" s="383"/>
      <c r="B24" s="1488"/>
      <c r="C24" s="618"/>
      <c r="D24" s="427"/>
      <c r="E24" s="428"/>
      <c r="F24" s="427"/>
      <c r="G24" s="2395"/>
      <c r="H24" s="427"/>
      <c r="I24" s="2395"/>
      <c r="J24" s="427"/>
      <c r="K24" s="803"/>
      <c r="L24" s="1248"/>
      <c r="M24" s="1239"/>
      <c r="N24" s="1239"/>
      <c r="O24" s="1247"/>
      <c r="P24" s="3069"/>
      <c r="Q24" s="1893"/>
      <c r="R24" s="752"/>
      <c r="S24" s="753"/>
      <c r="T24" s="752"/>
      <c r="U24" s="753"/>
      <c r="V24" s="752"/>
      <c r="W24" s="753"/>
      <c r="X24" s="1894"/>
      <c r="Y24" s="3069"/>
      <c r="Z24" s="1896"/>
      <c r="AA24" s="1897"/>
      <c r="AB24" s="1897"/>
      <c r="AC24" s="1897"/>
    </row>
    <row r="25" spans="1:29" ht="71.25">
      <c r="A25" s="383"/>
      <c r="B25" s="1486" t="s">
        <v>2538</v>
      </c>
      <c r="C25" s="2476"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69"/>
      <c r="Q25" s="1893" t="str">
        <f t="shared" si="8"/>
        <v>自然及人文环境状况</v>
      </c>
      <c r="R25" s="752" t="s">
        <v>25</v>
      </c>
      <c r="S25" s="753">
        <f>F25</f>
        <v>100</v>
      </c>
      <c r="T25" s="752" t="s">
        <v>25</v>
      </c>
      <c r="U25" s="753">
        <f>H25</f>
        <v>100</v>
      </c>
      <c r="V25" s="752" t="s">
        <v>25</v>
      </c>
      <c r="W25" s="753">
        <f>J25</f>
        <v>100</v>
      </c>
      <c r="X25" s="1894"/>
      <c r="Y25" s="306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69"/>
      <c r="Q26" s="1893"/>
      <c r="R26" s="752"/>
      <c r="S26" s="753"/>
      <c r="T26" s="752"/>
      <c r="U26" s="753"/>
      <c r="V26" s="752"/>
      <c r="W26" s="753"/>
      <c r="X26" s="1894"/>
      <c r="Y26" s="3069"/>
      <c r="Z26" s="1896"/>
      <c r="AA26" s="1897">
        <v>1</v>
      </c>
      <c r="AB26" s="1897">
        <v>1</v>
      </c>
      <c r="AC26" s="1897">
        <v>1</v>
      </c>
    </row>
    <row r="27" spans="1:29" ht="42.75">
      <c r="A27" s="383"/>
      <c r="B27" s="1486" t="s">
        <v>2440</v>
      </c>
      <c r="C27" s="2459"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69"/>
      <c r="Q27" s="1881" t="str">
        <f t="shared" ref="Q27" si="9">B27</f>
        <v>公共配套设施</v>
      </c>
      <c r="R27" s="748" t="s">
        <v>25</v>
      </c>
      <c r="S27" s="749">
        <f>F27</f>
        <v>100</v>
      </c>
      <c r="T27" s="748" t="s">
        <v>25</v>
      </c>
      <c r="U27" s="749">
        <f>H27</f>
        <v>100</v>
      </c>
      <c r="V27" s="748" t="s">
        <v>25</v>
      </c>
      <c r="W27" s="749">
        <f>J27</f>
        <v>100</v>
      </c>
      <c r="X27" s="1894"/>
      <c r="Y27" s="3069"/>
      <c r="Z27" s="23" t="str">
        <f>Q27</f>
        <v>公共配套设施</v>
      </c>
      <c r="AA27" s="1897">
        <f>D27/F27</f>
        <v>1</v>
      </c>
      <c r="AB27" s="1897">
        <f>D27/H27</f>
        <v>1</v>
      </c>
      <c r="AC27" s="1897">
        <f>D27/J27</f>
        <v>1</v>
      </c>
    </row>
    <row r="28" spans="1:29" ht="15">
      <c r="A28" s="383"/>
      <c r="B28" s="1485"/>
      <c r="C28" s="2478"/>
      <c r="D28" s="427"/>
      <c r="E28" s="2478"/>
      <c r="F28" s="427"/>
      <c r="G28" s="2478"/>
      <c r="H28" s="427"/>
      <c r="I28" s="2478"/>
      <c r="J28" s="427"/>
      <c r="K28" s="655"/>
      <c r="L28" s="1248"/>
      <c r="M28" s="1239"/>
      <c r="N28" s="1239"/>
      <c r="O28" s="1247"/>
      <c r="P28" s="3069"/>
      <c r="Q28" s="1893"/>
      <c r="R28" s="752"/>
      <c r="S28" s="753"/>
      <c r="T28" s="752"/>
      <c r="U28" s="753"/>
      <c r="V28" s="752"/>
      <c r="W28" s="753"/>
      <c r="X28" s="1894"/>
      <c r="Y28" s="3069"/>
      <c r="Z28" s="23"/>
      <c r="AA28" s="1897">
        <v>1</v>
      </c>
      <c r="AB28" s="1897">
        <v>1</v>
      </c>
      <c r="AC28" s="1897">
        <v>1</v>
      </c>
    </row>
    <row r="29" spans="1:29" s="35" customFormat="1" ht="42.75">
      <c r="A29" s="633"/>
      <c r="B29" s="1486" t="s">
        <v>2441</v>
      </c>
      <c r="C29" s="2479"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69"/>
      <c r="Q29" s="1881" t="str">
        <f t="shared" si="8"/>
        <v>基础设施水平</v>
      </c>
      <c r="R29" s="748" t="s">
        <v>25</v>
      </c>
      <c r="S29" s="749">
        <f>F29</f>
        <v>100</v>
      </c>
      <c r="T29" s="748" t="s">
        <v>25</v>
      </c>
      <c r="U29" s="749">
        <f>H29</f>
        <v>100</v>
      </c>
      <c r="V29" s="748" t="s">
        <v>25</v>
      </c>
      <c r="W29" s="749">
        <f>J29</f>
        <v>100</v>
      </c>
      <c r="X29" s="750"/>
      <c r="Y29" s="3069"/>
      <c r="Z29" s="23" t="str">
        <f>Q29</f>
        <v>基础设施水平</v>
      </c>
      <c r="AA29" s="1897">
        <f>D29/F29</f>
        <v>1</v>
      </c>
      <c r="AB29" s="1897">
        <f>D29/H29</f>
        <v>1</v>
      </c>
      <c r="AC29" s="1897">
        <f>D29/J29</f>
        <v>1</v>
      </c>
    </row>
    <row r="30" spans="1:29" s="35" customFormat="1" ht="15">
      <c r="A30" s="633"/>
      <c r="B30" s="1485"/>
      <c r="C30" s="2478"/>
      <c r="D30" s="427"/>
      <c r="E30" s="2478"/>
      <c r="F30" s="427"/>
      <c r="G30" s="2478"/>
      <c r="H30" s="427"/>
      <c r="I30" s="2478"/>
      <c r="J30" s="427"/>
      <c r="K30" s="655"/>
      <c r="L30" s="1240"/>
      <c r="M30" s="1241"/>
      <c r="N30" s="1241"/>
      <c r="O30" s="1242"/>
      <c r="P30" s="3069"/>
      <c r="Q30" s="1881"/>
      <c r="R30" s="748"/>
      <c r="S30" s="749"/>
      <c r="T30" s="748"/>
      <c r="U30" s="749"/>
      <c r="V30" s="748"/>
      <c r="W30" s="749"/>
      <c r="X30" s="750"/>
      <c r="Y30" s="3069"/>
      <c r="Z30" s="23"/>
      <c r="AA30" s="1897">
        <v>1</v>
      </c>
      <c r="AB30" s="1897">
        <v>1</v>
      </c>
      <c r="AC30" s="1897">
        <v>1</v>
      </c>
    </row>
    <row r="31" spans="1:29" ht="15">
      <c r="A31" s="383"/>
      <c r="B31" s="1485"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69"/>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69"/>
      <c r="Z31" s="1896" t="str">
        <f t="shared" ref="Z31:Z45" si="13">Q31</f>
        <v>临街状况</v>
      </c>
      <c r="AA31" s="1897">
        <f t="shared" si="3"/>
        <v>1</v>
      </c>
      <c r="AB31" s="1897">
        <f t="shared" si="4"/>
        <v>1</v>
      </c>
      <c r="AC31" s="1897">
        <f t="shared" si="5"/>
        <v>1</v>
      </c>
    </row>
    <row r="32" spans="1:29" ht="27">
      <c r="A32" s="383"/>
      <c r="B32" s="1486"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69"/>
      <c r="Q32" s="1893" t="str">
        <f t="shared" si="8"/>
        <v>毗邻道路的类型与等级</v>
      </c>
      <c r="R32" s="752" t="s">
        <v>25</v>
      </c>
      <c r="S32" s="753">
        <f t="shared" si="10"/>
        <v>100</v>
      </c>
      <c r="T32" s="752" t="s">
        <v>25</v>
      </c>
      <c r="U32" s="753">
        <f t="shared" si="11"/>
        <v>100</v>
      </c>
      <c r="V32" s="752" t="s">
        <v>25</v>
      </c>
      <c r="W32" s="753">
        <f t="shared" si="12"/>
        <v>100</v>
      </c>
      <c r="X32" s="1894"/>
      <c r="Y32" s="306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69"/>
      <c r="Q33" s="1893"/>
      <c r="R33" s="752"/>
      <c r="S33" s="753"/>
      <c r="T33" s="752"/>
      <c r="U33" s="753"/>
      <c r="V33" s="752"/>
      <c r="W33" s="753"/>
      <c r="X33" s="1894"/>
      <c r="Y33" s="3069"/>
      <c r="Z33" s="1896"/>
      <c r="AA33" s="1897">
        <v>1</v>
      </c>
      <c r="AB33" s="1897">
        <v>1</v>
      </c>
      <c r="AC33" s="1897">
        <v>1</v>
      </c>
    </row>
    <row r="34" spans="1:29" ht="15">
      <c r="A34" s="383"/>
      <c r="B34" s="1489"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69"/>
      <c r="Q34" s="1893" t="str">
        <f t="shared" si="8"/>
        <v>土地级别</v>
      </c>
      <c r="R34" s="752" t="s">
        <v>25</v>
      </c>
      <c r="S34" s="753">
        <f t="shared" si="10"/>
        <v>100</v>
      </c>
      <c r="T34" s="752" t="s">
        <v>25</v>
      </c>
      <c r="U34" s="753">
        <f t="shared" si="11"/>
        <v>100</v>
      </c>
      <c r="V34" s="752" t="s">
        <v>25</v>
      </c>
      <c r="W34" s="753">
        <f t="shared" si="12"/>
        <v>100</v>
      </c>
      <c r="X34" s="1894"/>
      <c r="Y34" s="306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69"/>
      <c r="Q35" s="1893">
        <f t="shared" si="8"/>
        <v>111</v>
      </c>
      <c r="R35" s="752" t="s">
        <v>25</v>
      </c>
      <c r="S35" s="753">
        <f t="shared" si="10"/>
        <v>100</v>
      </c>
      <c r="T35" s="752" t="s">
        <v>25</v>
      </c>
      <c r="U35" s="753">
        <f t="shared" si="11"/>
        <v>100</v>
      </c>
      <c r="V35" s="752" t="s">
        <v>25</v>
      </c>
      <c r="W35" s="753">
        <f t="shared" si="12"/>
        <v>100</v>
      </c>
      <c r="X35" s="1894"/>
      <c r="Y35" s="306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01" t="s">
        <v>2360</v>
      </c>
      <c r="Q36" s="1893">
        <f t="shared" si="8"/>
        <v>111</v>
      </c>
      <c r="R36" s="752" t="s">
        <v>25</v>
      </c>
      <c r="S36" s="753">
        <f t="shared" si="10"/>
        <v>100</v>
      </c>
      <c r="T36" s="752" t="s">
        <v>25</v>
      </c>
      <c r="U36" s="753">
        <f t="shared" si="11"/>
        <v>100</v>
      </c>
      <c r="V36" s="752" t="s">
        <v>25</v>
      </c>
      <c r="W36" s="753">
        <f t="shared" si="12"/>
        <v>100</v>
      </c>
      <c r="X36" s="1894"/>
      <c r="Y36" s="3073" t="s">
        <v>2360</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73"/>
      <c r="Q37" s="1893">
        <f t="shared" si="8"/>
        <v>111</v>
      </c>
      <c r="R37" s="755" t="s">
        <v>25</v>
      </c>
      <c r="S37" s="756">
        <f t="shared" si="10"/>
        <v>100</v>
      </c>
      <c r="T37" s="755" t="s">
        <v>25</v>
      </c>
      <c r="U37" s="756">
        <f t="shared" si="11"/>
        <v>100</v>
      </c>
      <c r="V37" s="755" t="s">
        <v>25</v>
      </c>
      <c r="W37" s="756">
        <f t="shared" si="12"/>
        <v>100</v>
      </c>
      <c r="X37" s="757"/>
      <c r="Y37" s="3073"/>
      <c r="Z37" s="758">
        <f t="shared" si="13"/>
        <v>111</v>
      </c>
      <c r="AA37" s="1897">
        <f t="shared" si="3"/>
        <v>1</v>
      </c>
      <c r="AB37" s="1897">
        <f t="shared" si="4"/>
        <v>1</v>
      </c>
      <c r="AC37" s="1897">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73"/>
      <c r="Q38" s="1893" t="str">
        <f>B38</f>
        <v>宗地面积</v>
      </c>
      <c r="R38" s="752" t="s">
        <v>25</v>
      </c>
      <c r="S38" s="753" t="e">
        <f t="shared" si="10"/>
        <v>#N/A</v>
      </c>
      <c r="T38" s="752" t="s">
        <v>25</v>
      </c>
      <c r="U38" s="753" t="e">
        <f t="shared" si="11"/>
        <v>#N/A</v>
      </c>
      <c r="V38" s="752" t="s">
        <v>25</v>
      </c>
      <c r="W38" s="753" t="e">
        <f t="shared" si="12"/>
        <v>#N/A</v>
      </c>
      <c r="X38" s="1894"/>
      <c r="Y38" s="3073"/>
      <c r="Z38" s="1896" t="str">
        <f t="shared" si="13"/>
        <v>宗地面积</v>
      </c>
      <c r="AA38" s="1897" t="e">
        <f t="shared" si="3"/>
        <v>#N/A</v>
      </c>
      <c r="AB38" s="1897" t="e">
        <f t="shared" si="4"/>
        <v>#N/A</v>
      </c>
      <c r="AC38" s="1897" t="e">
        <f t="shared" si="5"/>
        <v>#N/A</v>
      </c>
    </row>
    <row r="39" spans="1:29" ht="15">
      <c r="A39" s="453"/>
      <c r="B39" s="402" t="s">
        <v>2541</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8"/>
      <c r="M39" s="1239"/>
      <c r="N39" s="1239"/>
      <c r="O39" s="1247"/>
      <c r="P39" s="3073"/>
      <c r="Q39" s="1893" t="str">
        <f t="shared" ref="Q39:Q45" si="14">B39</f>
        <v>宗地形状</v>
      </c>
      <c r="R39" s="752" t="s">
        <v>25</v>
      </c>
      <c r="S39" s="753">
        <f t="shared" si="10"/>
        <v>100</v>
      </c>
      <c r="T39" s="752" t="s">
        <v>25</v>
      </c>
      <c r="U39" s="753">
        <f t="shared" si="11"/>
        <v>100</v>
      </c>
      <c r="V39" s="752" t="s">
        <v>25</v>
      </c>
      <c r="W39" s="753">
        <f t="shared" si="12"/>
        <v>100</v>
      </c>
      <c r="X39" s="1894"/>
      <c r="Y39" s="3073"/>
      <c r="Z39" s="1896" t="str">
        <f t="shared" si="13"/>
        <v>宗地形状</v>
      </c>
      <c r="AA39" s="1897">
        <f t="shared" si="3"/>
        <v>1</v>
      </c>
      <c r="AB39" s="1897">
        <f t="shared" si="4"/>
        <v>1</v>
      </c>
      <c r="AC39" s="1897">
        <f t="shared" si="5"/>
        <v>1</v>
      </c>
    </row>
    <row r="40" spans="1:29" ht="15">
      <c r="A40" s="453"/>
      <c r="B40" s="402" t="s">
        <v>2542</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8"/>
      <c r="M40" s="1239"/>
      <c r="N40" s="1239"/>
      <c r="O40" s="1247"/>
      <c r="P40" s="3073"/>
      <c r="Q40" s="1893" t="str">
        <f t="shared" si="14"/>
        <v>临街宽度及深度</v>
      </c>
      <c r="R40" s="752" t="s">
        <v>25</v>
      </c>
      <c r="S40" s="753">
        <f t="shared" si="10"/>
        <v>100</v>
      </c>
      <c r="T40" s="752" t="s">
        <v>25</v>
      </c>
      <c r="U40" s="753">
        <f t="shared" si="11"/>
        <v>100</v>
      </c>
      <c r="V40" s="752" t="s">
        <v>25</v>
      </c>
      <c r="W40" s="753">
        <f t="shared" si="12"/>
        <v>100</v>
      </c>
      <c r="X40" s="1894"/>
      <c r="Y40" s="3073"/>
      <c r="Z40" s="1896" t="str">
        <f t="shared" si="13"/>
        <v>临街宽度及深度</v>
      </c>
      <c r="AA40" s="1897">
        <f t="shared" si="3"/>
        <v>1</v>
      </c>
      <c r="AB40" s="1897">
        <f t="shared" si="4"/>
        <v>1</v>
      </c>
      <c r="AC40" s="1897">
        <f t="shared" si="5"/>
        <v>1</v>
      </c>
    </row>
    <row r="41" spans="1:29" s="35" customFormat="1" ht="15">
      <c r="A41" s="454"/>
      <c r="B41" s="402" t="s">
        <v>2543</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40"/>
      <c r="M41" s="1241"/>
      <c r="N41" s="1241"/>
      <c r="O41" s="1242"/>
      <c r="P41" s="3073"/>
      <c r="Q41" s="1893" t="str">
        <f t="shared" si="14"/>
        <v>宗地开发程度</v>
      </c>
      <c r="R41" s="748" t="s">
        <v>25</v>
      </c>
      <c r="S41" s="749">
        <f t="shared" si="10"/>
        <v>100</v>
      </c>
      <c r="T41" s="748" t="s">
        <v>25</v>
      </c>
      <c r="U41" s="749">
        <f t="shared" si="11"/>
        <v>100</v>
      </c>
      <c r="V41" s="748" t="s">
        <v>25</v>
      </c>
      <c r="W41" s="749">
        <f t="shared" si="12"/>
        <v>100</v>
      </c>
      <c r="X41" s="750"/>
      <c r="Y41" s="3073"/>
      <c r="Z41" s="23" t="str">
        <f t="shared" si="13"/>
        <v>宗地开发程度</v>
      </c>
      <c r="AA41" s="751">
        <f t="shared" si="3"/>
        <v>1</v>
      </c>
      <c r="AB41" s="751">
        <f t="shared" si="4"/>
        <v>1</v>
      </c>
      <c r="AC41" s="751">
        <f t="shared" si="5"/>
        <v>1</v>
      </c>
    </row>
    <row r="42" spans="1:29" ht="15">
      <c r="A42" s="453"/>
      <c r="B42" s="402" t="s">
        <v>2544</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8"/>
      <c r="M42" s="1239"/>
      <c r="N42" s="1239"/>
      <c r="O42" s="1247"/>
      <c r="P42" s="3073" t="s">
        <v>2360</v>
      </c>
      <c r="Q42" s="1893" t="str">
        <f t="shared" si="14"/>
        <v>工程地质条件</v>
      </c>
      <c r="R42" s="752" t="s">
        <v>25</v>
      </c>
      <c r="S42" s="753">
        <f t="shared" si="10"/>
        <v>100</v>
      </c>
      <c r="T42" s="752" t="s">
        <v>25</v>
      </c>
      <c r="U42" s="753">
        <f t="shared" si="11"/>
        <v>100</v>
      </c>
      <c r="V42" s="752" t="s">
        <v>25</v>
      </c>
      <c r="W42" s="753">
        <f t="shared" si="12"/>
        <v>100</v>
      </c>
      <c r="X42" s="1894"/>
      <c r="Y42" s="3073" t="s">
        <v>2360</v>
      </c>
      <c r="Z42" s="1896" t="str">
        <f t="shared" si="13"/>
        <v>工程地质条件</v>
      </c>
      <c r="AA42" s="1897">
        <f t="shared" si="3"/>
        <v>1</v>
      </c>
      <c r="AB42" s="1897">
        <f t="shared" si="4"/>
        <v>1</v>
      </c>
      <c r="AC42" s="1897">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73"/>
      <c r="Q43" s="1893">
        <f t="shared" si="14"/>
        <v>111</v>
      </c>
      <c r="R43" s="752" t="s">
        <v>25</v>
      </c>
      <c r="S43" s="753">
        <f t="shared" si="10"/>
        <v>100</v>
      </c>
      <c r="T43" s="752" t="s">
        <v>25</v>
      </c>
      <c r="U43" s="753">
        <f t="shared" si="11"/>
        <v>100</v>
      </c>
      <c r="V43" s="752" t="s">
        <v>25</v>
      </c>
      <c r="W43" s="753">
        <f t="shared" si="12"/>
        <v>100</v>
      </c>
      <c r="X43" s="1894"/>
      <c r="Y43" s="3073"/>
      <c r="Z43" s="1896">
        <f t="shared" si="13"/>
        <v>111</v>
      </c>
      <c r="AA43" s="1897">
        <f t="shared" si="3"/>
        <v>1</v>
      </c>
      <c r="AB43" s="1897">
        <f t="shared" si="4"/>
        <v>1</v>
      </c>
      <c r="AC43" s="1897">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73"/>
      <c r="Q44" s="1893">
        <f t="shared" si="14"/>
        <v>111</v>
      </c>
      <c r="R44" s="752" t="s">
        <v>25</v>
      </c>
      <c r="S44" s="753">
        <f t="shared" si="10"/>
        <v>100</v>
      </c>
      <c r="T44" s="752" t="s">
        <v>25</v>
      </c>
      <c r="U44" s="753">
        <f t="shared" si="11"/>
        <v>100</v>
      </c>
      <c r="V44" s="752" t="s">
        <v>25</v>
      </c>
      <c r="W44" s="753">
        <f t="shared" si="12"/>
        <v>100</v>
      </c>
      <c r="X44" s="1894"/>
      <c r="Y44" s="3073"/>
      <c r="Z44" s="1896">
        <f t="shared" si="13"/>
        <v>111</v>
      </c>
      <c r="AA44" s="1897">
        <f t="shared" si="3"/>
        <v>1</v>
      </c>
      <c r="AB44" s="1897">
        <f t="shared" si="4"/>
        <v>1</v>
      </c>
      <c r="AC44" s="1897">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73"/>
      <c r="Q45" s="1893">
        <f t="shared" si="14"/>
        <v>111</v>
      </c>
      <c r="R45" s="755" t="s">
        <v>25</v>
      </c>
      <c r="S45" s="756">
        <f t="shared" si="10"/>
        <v>100</v>
      </c>
      <c r="T45" s="755" t="s">
        <v>25</v>
      </c>
      <c r="U45" s="756">
        <f t="shared" si="11"/>
        <v>100</v>
      </c>
      <c r="V45" s="755" t="s">
        <v>25</v>
      </c>
      <c r="W45" s="756">
        <f t="shared" si="12"/>
        <v>100</v>
      </c>
      <c r="X45" s="757"/>
      <c r="Y45" s="3073"/>
      <c r="Z45" s="758">
        <f t="shared" si="13"/>
        <v>111</v>
      </c>
      <c r="AA45" s="1897">
        <f t="shared" si="3"/>
        <v>1</v>
      </c>
      <c r="AB45" s="1897">
        <f t="shared" si="4"/>
        <v>1</v>
      </c>
      <c r="AC45" s="1897">
        <f t="shared" si="5"/>
        <v>1</v>
      </c>
    </row>
    <row r="46" spans="1:29" ht="15">
      <c r="A46" s="460" t="s">
        <v>2508</v>
      </c>
      <c r="B46" s="2483" t="s">
        <v>2545</v>
      </c>
      <c r="C46" s="665" t="s">
        <v>1</v>
      </c>
      <c r="D46" s="462"/>
      <c r="E46" s="463"/>
      <c r="F46" s="464"/>
      <c r="G46" s="465"/>
      <c r="H46" s="466"/>
      <c r="I46" s="463"/>
      <c r="J46" s="466"/>
      <c r="K46" s="761"/>
      <c r="L46" s="1251"/>
      <c r="M46" s="1252"/>
      <c r="N46" s="1239"/>
      <c r="O46" s="1252"/>
      <c r="P46" s="3079" t="str">
        <f>A46</f>
        <v>成交单价</v>
      </c>
      <c r="Q46" s="3079"/>
      <c r="R46" s="3063">
        <f>E46</f>
        <v>0</v>
      </c>
      <c r="S46" s="3063"/>
      <c r="T46" s="3063">
        <f>G46</f>
        <v>0</v>
      </c>
      <c r="U46" s="3063"/>
      <c r="V46" s="3063">
        <f>I46</f>
        <v>0</v>
      </c>
      <c r="W46" s="3063"/>
      <c r="X46" s="737"/>
      <c r="Y46" s="759"/>
      <c r="Z46" s="737"/>
      <c r="AA46" s="737"/>
      <c r="AB46" s="737"/>
      <c r="AC46" s="737"/>
    </row>
    <row r="47" spans="1:29" ht="15.75" thickBot="1">
      <c r="A47" s="467" t="s">
        <v>2455</v>
      </c>
      <c r="B47" s="666"/>
      <c r="C47" s="471" t="e">
        <f>R48</f>
        <v>#DIV/0!</v>
      </c>
      <c r="D47" s="470"/>
      <c r="E47" s="471" t="e">
        <f>R47</f>
        <v>#DIV/0!</v>
      </c>
      <c r="F47" s="472"/>
      <c r="G47" s="469" t="e">
        <f>T47</f>
        <v>#DIV/0!</v>
      </c>
      <c r="H47" s="470"/>
      <c r="I47" s="471" t="e">
        <f>V47</f>
        <v>#DIV/0!</v>
      </c>
      <c r="J47" s="470"/>
      <c r="K47" s="762"/>
      <c r="L47" s="1251"/>
      <c r="M47" s="1252"/>
      <c r="N47" s="1252"/>
      <c r="O47" s="1252"/>
      <c r="P47" s="3079" t="str">
        <f>A47</f>
        <v>比较价值（元/平方米）</v>
      </c>
      <c r="Q47" s="3079"/>
      <c r="R47" s="3102" t="e">
        <f>ROUND(PRODUCT(R46,AA7:AA45),0)</f>
        <v>#DIV/0!</v>
      </c>
      <c r="S47" s="3102"/>
      <c r="T47" s="3102" t="e">
        <f>ROUND(PRODUCT(T46,AB7:AB45),0)</f>
        <v>#DIV/0!</v>
      </c>
      <c r="U47" s="3102"/>
      <c r="V47" s="3102" t="e">
        <f>ROUND(PRODUCT(V46,AC7:AC45),0)</f>
        <v>#DIV/0!</v>
      </c>
      <c r="W47" s="3102"/>
      <c r="X47" s="737"/>
      <c r="Y47" s="737"/>
      <c r="Z47" s="737"/>
      <c r="AA47" s="737"/>
      <c r="AB47" s="737"/>
      <c r="AC47" s="737"/>
    </row>
    <row r="48" spans="1:29" ht="15.75" thickBot="1">
      <c r="A48" s="473" t="s">
        <v>2478</v>
      </c>
      <c r="B48" s="474"/>
      <c r="C48" s="475" t="e">
        <f>R48</f>
        <v>#DIV/0!</v>
      </c>
      <c r="D48" s="475"/>
      <c r="E48" s="475"/>
      <c r="F48" s="475"/>
      <c r="G48" s="475"/>
      <c r="H48" s="475"/>
      <c r="I48" s="475"/>
      <c r="J48" s="475"/>
      <c r="K48" s="763"/>
      <c r="L48" s="1251"/>
      <c r="M48" s="1252"/>
      <c r="N48" s="1252"/>
      <c r="O48" s="1252"/>
      <c r="P48" s="3085" t="str">
        <f>A48</f>
        <v>估价对象XX用房的比较价值（楼面单价，元/平方米）</v>
      </c>
      <c r="Q48" s="3086"/>
      <c r="R48" s="3103" t="e">
        <f>ROUND(AVERAGE(R47:V47),0)</f>
        <v>#DIV/0!</v>
      </c>
      <c r="S48" s="3103"/>
      <c r="T48" s="3103"/>
      <c r="U48" s="3103"/>
      <c r="V48" s="3103"/>
      <c r="W48" s="3103"/>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2546</v>
      </c>
      <c r="B55" s="668" t="s">
        <v>2547</v>
      </c>
      <c r="C55" s="2484" t="s">
        <v>2548</v>
      </c>
      <c r="D55" s="2485" t="s">
        <v>2549</v>
      </c>
      <c r="E55" s="669" t="s">
        <v>2550</v>
      </c>
      <c r="F55" s="670" t="s">
        <v>2551</v>
      </c>
      <c r="G55" s="62" t="s">
        <v>2552</v>
      </c>
      <c r="H55" s="62" t="str">
        <f>项目基本情况!G8</f>
        <v>XX</v>
      </c>
      <c r="I55" s="2486" t="s">
        <v>2553</v>
      </c>
      <c r="J55" s="738"/>
      <c r="K55" s="1253"/>
      <c r="L55" s="1253"/>
      <c r="M55" s="1252"/>
      <c r="N55" s="1252"/>
      <c r="O55" s="1252"/>
    </row>
    <row r="56" spans="1:15" s="675" customFormat="1">
      <c r="A56" s="671" t="s">
        <v>2554</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2555</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2556</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2557</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2558</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2559</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2560</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2561</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2562</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2563</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2564</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2020-2-1</v>
      </c>
      <c r="D68" s="1665">
        <f>EDATE(C68,-3)</f>
        <v>43770</v>
      </c>
      <c r="E68" s="1665">
        <f t="shared" ref="E68:O68" si="18">EDATE(D68,-3)</f>
        <v>43678</v>
      </c>
      <c r="F68" s="1665">
        <f t="shared" si="18"/>
        <v>43586</v>
      </c>
      <c r="G68" s="1665">
        <f t="shared" si="18"/>
        <v>43497</v>
      </c>
      <c r="H68" s="1665">
        <f t="shared" si="18"/>
        <v>43405</v>
      </c>
      <c r="I68" s="1665">
        <f t="shared" si="18"/>
        <v>43313</v>
      </c>
      <c r="J68" s="1665">
        <f t="shared" si="18"/>
        <v>43221</v>
      </c>
      <c r="K68" s="1665">
        <f t="shared" si="18"/>
        <v>43132</v>
      </c>
      <c r="L68" s="1665">
        <f t="shared" si="18"/>
        <v>43040</v>
      </c>
      <c r="M68" s="1665">
        <f t="shared" si="18"/>
        <v>42948</v>
      </c>
      <c r="N68" s="1665">
        <f t="shared" si="18"/>
        <v>42856</v>
      </c>
      <c r="O68" s="1665">
        <f t="shared" si="18"/>
        <v>42767</v>
      </c>
    </row>
    <row r="69" spans="1:17" ht="21.75" thickBot="1">
      <c r="A69" s="741" t="s">
        <v>2460</v>
      </c>
      <c r="B69" s="737"/>
      <c r="C69" s="742"/>
      <c r="D69" s="742"/>
      <c r="E69" s="742"/>
      <c r="F69" s="743"/>
      <c r="G69" s="743"/>
      <c r="H69" s="742"/>
      <c r="I69" s="1268"/>
      <c r="J69" s="1268"/>
      <c r="K69" s="1266"/>
      <c r="L69" s="1267"/>
      <c r="M69" s="1268"/>
      <c r="N69" s="1268"/>
      <c r="O69" s="1268"/>
      <c r="P69" s="484"/>
      <c r="Q69" s="485"/>
    </row>
    <row r="70" spans="1:17" s="1669" customFormat="1" ht="15">
      <c r="A70" s="2487" t="s">
        <v>2565</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8" t="s">
        <v>2566</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75" thickBot="1">
      <c r="A72" s="496" t="s">
        <v>2380</v>
      </c>
      <c r="B72" s="497"/>
      <c r="C72" s="498"/>
      <c r="D72" s="499"/>
      <c r="E72" s="499"/>
      <c r="F72" s="499"/>
      <c r="G72" s="499"/>
      <c r="H72" s="499"/>
      <c r="I72" s="499"/>
      <c r="J72" s="499"/>
      <c r="K72" s="499"/>
      <c r="L72" s="499"/>
      <c r="M72" s="500"/>
      <c r="N72" s="499"/>
      <c r="O72" s="1671"/>
      <c r="P72" s="485"/>
      <c r="Q72" s="485"/>
    </row>
    <row r="73" spans="1:17" s="35" customFormat="1" ht="15">
      <c r="A73" s="502" t="s">
        <v>2344</v>
      </c>
      <c r="B73" s="491"/>
      <c r="C73" s="503" t="s">
        <v>2345</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2383</v>
      </c>
      <c r="B75" s="509" t="s">
        <v>2348</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2351</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2472</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2539</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2358</v>
      </c>
      <c r="B116" s="509" t="s">
        <v>2574</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2575</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2576</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2577</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2578</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1260</v>
      </c>
      <c r="B1" s="1905"/>
      <c r="C1" s="1905"/>
      <c r="D1" s="1905"/>
      <c r="E1" s="1905"/>
      <c r="F1" s="1905"/>
      <c r="G1" s="1905"/>
    </row>
    <row r="2" spans="1:7">
      <c r="A2" s="1907"/>
    </row>
    <row r="3" spans="1:7" s="1910" customFormat="1" ht="18">
      <c r="A3" s="1908" t="str">
        <f>IF(ISNUMBER(FIND("公司",项目基本情况!B4)),项目基本情况!B4&amp;"：",项目基本情况!B4&amp;"  先生/女士：")</f>
        <v>北京恒远恒信科技发展有限公司：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1261</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估价对象为北京市房地产，为连灏所有。根据《不动产权证书》[]，估价对象建筑面积为261.59平方米，（分摊）出让国有建设用地使用权面积为平方米。估价对象用途为。</v>
      </c>
      <c r="B6" s="1911"/>
      <c r="C6" s="1911"/>
      <c r="D6" s="1911"/>
      <c r="E6" s="1911"/>
      <c r="F6" s="1911"/>
      <c r="G6" s="1911"/>
    </row>
    <row r="7" spans="1:7" ht="18.75">
      <c r="A7" s="1912" t="s">
        <v>1262</v>
      </c>
    </row>
    <row r="8" spans="1:7" ht="36">
      <c r="A8" s="191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5"/>
      <c r="C8" s="1911"/>
      <c r="D8" s="1911"/>
      <c r="E8" s="1911"/>
      <c r="F8" s="1911"/>
      <c r="G8" s="1911"/>
    </row>
    <row r="9" spans="1:7" ht="18.75">
      <c r="A9" s="1909" t="s">
        <v>1263</v>
      </c>
      <c r="B9" s="1916"/>
    </row>
    <row r="10" spans="1:7" ht="18">
      <c r="A10" s="1917" t="str">
        <f>TEXT(项目基本情况!D2,"yyyy年m月d日;;")&amp;IF(项目基本情况!B2=项目基本情况!D2,"（评估专业人员实地查勘之日）","")</f>
        <v>2020年2月27日（评估专业人员实地查勘之日）</v>
      </c>
      <c r="B10" s="1918"/>
      <c r="C10" s="1918"/>
      <c r="D10" s="1918"/>
      <c r="E10" s="1918"/>
      <c r="F10" s="1918"/>
      <c r="G10" s="1918"/>
    </row>
    <row r="11" spans="1:7" ht="18.75">
      <c r="A11" s="1909" t="s">
        <v>1264</v>
      </c>
    </row>
    <row r="12" spans="1:7" ht="75">
      <c r="A12" s="1911" t="s">
        <v>1265</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1259</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1258</v>
      </c>
    </row>
    <row r="18" spans="1:1" ht="18">
      <c r="A18" s="1920"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1997</v>
      </c>
      <c r="B2" s="654" t="e">
        <f>F61</f>
        <v>#DIV/0!</v>
      </c>
      <c r="C2" s="731" t="s">
        <v>2533</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c r="F7" s="392">
        <f>SUMIF(65:65,YEAR(E7)&amp;"-"&amp;INT((MONTH(E7)+2)/3),66:66)</f>
        <v>0</v>
      </c>
      <c r="G7" s="2457"/>
      <c r="H7" s="390">
        <f>SUMIF(65:65,YEAR(G7)&amp;"-"&amp;INT((MONTH(G7)+2)/3),66:66)</f>
        <v>0</v>
      </c>
      <c r="I7" s="2457"/>
      <c r="J7" s="390">
        <f>SUMIF(65:65,YEAR(I7)&amp;"-"&amp;INT((MONTH(I7)+2)/3),66:66)</f>
        <v>0</v>
      </c>
      <c r="K7" s="595"/>
      <c r="L7" s="1240"/>
      <c r="M7" s="1241"/>
      <c r="N7" s="1241"/>
      <c r="O7" s="1241"/>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75" t="s">
        <v>2346</v>
      </c>
      <c r="Q8" s="3076"/>
      <c r="R8" s="748" t="s">
        <v>25</v>
      </c>
      <c r="S8" s="749">
        <f t="shared" si="0"/>
        <v>0</v>
      </c>
      <c r="T8" s="748" t="s">
        <v>25</v>
      </c>
      <c r="U8" s="749">
        <f t="shared" si="1"/>
        <v>0</v>
      </c>
      <c r="V8" s="748" t="s">
        <v>25</v>
      </c>
      <c r="W8" s="749">
        <f t="shared" si="2"/>
        <v>0</v>
      </c>
      <c r="X8" s="750"/>
      <c r="Y8" s="3075" t="s">
        <v>2346</v>
      </c>
      <c r="Z8" s="3076"/>
      <c r="AA8" s="751" t="e">
        <f t="shared" ref="AA8:AA40" si="3">D8/F8</f>
        <v>#DIV/0!</v>
      </c>
      <c r="AB8" s="751" t="e">
        <f t="shared" ref="AB8:AB40" si="4">D8/H8</f>
        <v>#DIV/0!</v>
      </c>
      <c r="AC8" s="751" t="e">
        <f t="shared" ref="AC8:AC40" si="5">D8/J8</f>
        <v>#DIV/0!</v>
      </c>
    </row>
    <row r="9" spans="1:29" s="35" customFormat="1">
      <c r="A9" s="395" t="s">
        <v>2347</v>
      </c>
      <c r="B9" s="28" t="s">
        <v>2348</v>
      </c>
      <c r="C9" s="2475" t="s">
        <v>2580</v>
      </c>
      <c r="D9" s="51">
        <v>100</v>
      </c>
      <c r="E9" s="2475"/>
      <c r="F9" s="51">
        <f>SUMIF(70:70,E9,71:71)-SUMIF(70:70,C9,71:71)+100</f>
        <v>100</v>
      </c>
      <c r="G9" s="2475"/>
      <c r="H9" s="51">
        <f>SUMIF(70:70,G9,71:71)-SUMIF(70:70,C9,71:71)+100</f>
        <v>100</v>
      </c>
      <c r="I9" s="2475"/>
      <c r="J9" s="51">
        <f>SUMIF(70:70,I9,71:71)-SUMIF(70:70,C9,71:71)+100</f>
        <v>100</v>
      </c>
      <c r="K9" s="595"/>
      <c r="L9" s="1240"/>
      <c r="M9" s="1241"/>
      <c r="N9" s="1241"/>
      <c r="O9" s="1242"/>
      <c r="P9" s="3079"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12"/>
      <c r="D10" s="52">
        <v>100</v>
      </c>
      <c r="E10" s="412"/>
      <c r="F10" s="52">
        <f>ROUND(100/'数据-取费表'!B14,0)</f>
        <v>108</v>
      </c>
      <c r="G10" s="412"/>
      <c r="H10" s="52">
        <f>ROUND(100/'数据-取费表'!B14,0)</f>
        <v>108</v>
      </c>
      <c r="I10" s="412"/>
      <c r="J10" s="52">
        <f>ROUND(100/'数据-取费表'!B14,0)</f>
        <v>108</v>
      </c>
      <c r="K10" s="655"/>
      <c r="L10" s="1243"/>
      <c r="M10" s="1244"/>
      <c r="N10" s="1244"/>
      <c r="O10" s="1245"/>
      <c r="P10" s="3079"/>
      <c r="Q10" s="1881" t="str">
        <f t="shared" si="6"/>
        <v>土地使用年限（年）</v>
      </c>
      <c r="R10" s="748" t="s">
        <v>25</v>
      </c>
      <c r="S10" s="749">
        <f t="shared" si="0"/>
        <v>108</v>
      </c>
      <c r="T10" s="748" t="s">
        <v>25</v>
      </c>
      <c r="U10" s="749">
        <f t="shared" si="1"/>
        <v>108</v>
      </c>
      <c r="V10" s="748" t="s">
        <v>25</v>
      </c>
      <c r="W10" s="749">
        <f t="shared" si="2"/>
        <v>108</v>
      </c>
      <c r="X10" s="750"/>
      <c r="Y10" s="2875"/>
      <c r="Z10" s="23" t="str">
        <f t="shared" si="7"/>
        <v>土地使用年限（年）</v>
      </c>
      <c r="AA10" s="751">
        <f t="shared" si="3"/>
        <v>0.92592592592592593</v>
      </c>
      <c r="AB10" s="751">
        <f t="shared" si="4"/>
        <v>0.92592592592592593</v>
      </c>
      <c r="AC10" s="751">
        <f t="shared" si="5"/>
        <v>0.92592592592592593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79"/>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79"/>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79"/>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2353</v>
      </c>
      <c r="B15" s="613" t="s">
        <v>2581</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68" t="s">
        <v>2354</v>
      </c>
      <c r="Q15" s="1893" t="str">
        <f t="shared" si="6"/>
        <v>产业集聚程度</v>
      </c>
      <c r="R15" s="752" t="s">
        <v>25</v>
      </c>
      <c r="S15" s="753">
        <f t="shared" si="0"/>
        <v>100</v>
      </c>
      <c r="T15" s="752" t="s">
        <v>25</v>
      </c>
      <c r="U15" s="753">
        <f t="shared" si="1"/>
        <v>100</v>
      </c>
      <c r="V15" s="752" t="s">
        <v>25</v>
      </c>
      <c r="W15" s="753">
        <f t="shared" si="2"/>
        <v>100</v>
      </c>
      <c r="X15" s="1894"/>
      <c r="Y15" s="3068" t="s">
        <v>2354</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69"/>
      <c r="Q16" s="1893"/>
      <c r="R16" s="752"/>
      <c r="S16" s="753"/>
      <c r="T16" s="752"/>
      <c r="U16" s="753"/>
      <c r="V16" s="752"/>
      <c r="W16" s="753"/>
      <c r="X16" s="1894"/>
      <c r="Y16" s="3069"/>
      <c r="Z16" s="1896"/>
      <c r="AA16" s="1897">
        <v>1</v>
      </c>
      <c r="AB16" s="1897">
        <v>1</v>
      </c>
      <c r="AC16" s="1897">
        <v>1</v>
      </c>
    </row>
    <row r="17" spans="1:29" ht="85.5">
      <c r="A17" s="408"/>
      <c r="B17" s="615" t="s">
        <v>2497</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69"/>
      <c r="Q17" s="1893" t="str">
        <f>B17</f>
        <v>交通便捷度</v>
      </c>
      <c r="R17" s="752" t="s">
        <v>25</v>
      </c>
      <c r="S17" s="753">
        <f>F17</f>
        <v>100</v>
      </c>
      <c r="T17" s="752" t="s">
        <v>25</v>
      </c>
      <c r="U17" s="753">
        <f>H17</f>
        <v>100</v>
      </c>
      <c r="V17" s="752" t="s">
        <v>25</v>
      </c>
      <c r="W17" s="753">
        <f>J17</f>
        <v>100</v>
      </c>
      <c r="X17" s="1894"/>
      <c r="Y17" s="3069"/>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5"/>
      <c r="J18" s="427"/>
      <c r="K18" s="655"/>
      <c r="L18" s="1248"/>
      <c r="M18" s="1239"/>
      <c r="N18" s="1239"/>
      <c r="O18" s="1247"/>
      <c r="P18" s="3069"/>
      <c r="Q18" s="1893"/>
      <c r="R18" s="752"/>
      <c r="S18" s="753"/>
      <c r="T18" s="752"/>
      <c r="U18" s="753"/>
      <c r="V18" s="752"/>
      <c r="W18" s="753"/>
      <c r="X18" s="1894"/>
      <c r="Y18" s="3069"/>
      <c r="Z18" s="1896"/>
      <c r="AA18" s="1897">
        <v>1</v>
      </c>
      <c r="AB18" s="1897">
        <v>1</v>
      </c>
      <c r="AC18" s="1897">
        <v>1</v>
      </c>
    </row>
    <row r="19" spans="1:29" ht="15">
      <c r="A19" s="408"/>
      <c r="B19" s="615" t="s">
        <v>2537</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69"/>
      <c r="Q19" s="1893" t="str">
        <f t="shared" ref="Q19:Q33" si="8">B19</f>
        <v>区域土地利用方向</v>
      </c>
      <c r="R19" s="752" t="s">
        <v>25</v>
      </c>
      <c r="S19" s="753">
        <f>F19</f>
        <v>100</v>
      </c>
      <c r="T19" s="752" t="s">
        <v>25</v>
      </c>
      <c r="U19" s="753">
        <f>H19</f>
        <v>100</v>
      </c>
      <c r="V19" s="752" t="s">
        <v>25</v>
      </c>
      <c r="W19" s="753">
        <f>J19</f>
        <v>100</v>
      </c>
      <c r="X19" s="1894"/>
      <c r="Y19" s="306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69"/>
      <c r="Q20" s="1893"/>
      <c r="R20" s="752"/>
      <c r="S20" s="753"/>
      <c r="T20" s="752"/>
      <c r="U20" s="753"/>
      <c r="V20" s="752"/>
      <c r="W20" s="753"/>
      <c r="X20" s="1894"/>
      <c r="Y20" s="3069"/>
      <c r="Z20" s="1896"/>
      <c r="AA20" s="1897"/>
      <c r="AB20" s="1897"/>
      <c r="AC20" s="1897"/>
    </row>
    <row r="21" spans="1:29" ht="71.25">
      <c r="A21" s="383"/>
      <c r="B21" s="615" t="s">
        <v>2582</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69"/>
      <c r="Q21" s="1893" t="str">
        <f t="shared" si="8"/>
        <v>环境状况</v>
      </c>
      <c r="R21" s="752" t="s">
        <v>25</v>
      </c>
      <c r="S21" s="753">
        <f>F21</f>
        <v>100</v>
      </c>
      <c r="T21" s="752" t="s">
        <v>25</v>
      </c>
      <c r="U21" s="753">
        <f>H21</f>
        <v>100</v>
      </c>
      <c r="V21" s="752" t="s">
        <v>25</v>
      </c>
      <c r="W21" s="753">
        <f>J21</f>
        <v>100</v>
      </c>
      <c r="X21" s="1894"/>
      <c r="Y21" s="306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69"/>
      <c r="Q22" s="1893"/>
      <c r="R22" s="752"/>
      <c r="S22" s="753"/>
      <c r="T22" s="752"/>
      <c r="U22" s="753"/>
      <c r="V22" s="752"/>
      <c r="W22" s="753"/>
      <c r="X22" s="1894"/>
      <c r="Y22" s="3069"/>
      <c r="Z22" s="1896"/>
      <c r="AA22" s="1897">
        <v>1</v>
      </c>
      <c r="AB22" s="1897">
        <v>1</v>
      </c>
      <c r="AC22" s="1897">
        <v>1</v>
      </c>
    </row>
    <row r="23" spans="1:29" s="35" customFormat="1" ht="42.75">
      <c r="A23" s="633"/>
      <c r="B23" s="615" t="s">
        <v>2440</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69"/>
      <c r="Q23" s="1881" t="str">
        <f t="shared" si="8"/>
        <v>公共配套设施</v>
      </c>
      <c r="R23" s="748" t="s">
        <v>25</v>
      </c>
      <c r="S23" s="749">
        <f>F23</f>
        <v>100</v>
      </c>
      <c r="T23" s="748" t="s">
        <v>25</v>
      </c>
      <c r="U23" s="749">
        <f>H23</f>
        <v>100</v>
      </c>
      <c r="V23" s="748" t="s">
        <v>25</v>
      </c>
      <c r="W23" s="749">
        <f>J23</f>
        <v>100</v>
      </c>
      <c r="X23" s="750"/>
      <c r="Y23" s="3069"/>
      <c r="Z23" s="23" t="str">
        <f>Q23</f>
        <v>公共配套设施</v>
      </c>
      <c r="AA23" s="1897">
        <f>D23/F23</f>
        <v>1</v>
      </c>
      <c r="AB23" s="1897">
        <f>D23/H23</f>
        <v>1</v>
      </c>
      <c r="AC23" s="1897">
        <f>D23/J23</f>
        <v>1</v>
      </c>
    </row>
    <row r="24" spans="1:29" s="35" customFormat="1" ht="15">
      <c r="A24" s="633"/>
      <c r="B24" s="616"/>
      <c r="C24" s="2489"/>
      <c r="D24" s="427"/>
      <c r="E24" s="1467"/>
      <c r="F24" s="427"/>
      <c r="G24" s="1467"/>
      <c r="H24" s="427"/>
      <c r="I24" s="426"/>
      <c r="J24" s="427"/>
      <c r="K24" s="655"/>
      <c r="L24" s="1240"/>
      <c r="M24" s="1241"/>
      <c r="N24" s="1241"/>
      <c r="O24" s="1242"/>
      <c r="P24" s="3069"/>
      <c r="Q24" s="1881"/>
      <c r="R24" s="748"/>
      <c r="S24" s="749"/>
      <c r="T24" s="748"/>
      <c r="U24" s="749"/>
      <c r="V24" s="748"/>
      <c r="W24" s="749"/>
      <c r="X24" s="750"/>
      <c r="Y24" s="3069"/>
      <c r="Z24" s="23"/>
      <c r="AA24" s="751">
        <v>1</v>
      </c>
      <c r="AB24" s="751">
        <v>1</v>
      </c>
      <c r="AC24" s="751">
        <v>1</v>
      </c>
    </row>
    <row r="25" spans="1:29" s="35" customFormat="1" ht="28.5">
      <c r="A25" s="633"/>
      <c r="B25" s="617" t="s">
        <v>2441</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69"/>
      <c r="Q25" s="1881" t="str">
        <f t="shared" ref="Q25" si="9">B25</f>
        <v>基础设施水平</v>
      </c>
      <c r="R25" s="748" t="s">
        <v>25</v>
      </c>
      <c r="S25" s="749">
        <f>F25</f>
        <v>100</v>
      </c>
      <c r="T25" s="748" t="s">
        <v>25</v>
      </c>
      <c r="U25" s="749">
        <f>H25</f>
        <v>100</v>
      </c>
      <c r="V25" s="748" t="s">
        <v>25</v>
      </c>
      <c r="W25" s="749">
        <f>J25</f>
        <v>100</v>
      </c>
      <c r="X25" s="750"/>
      <c r="Y25" s="3069"/>
      <c r="Z25" s="23" t="str">
        <f>Q25</f>
        <v>基础设施水平</v>
      </c>
      <c r="AA25" s="1897">
        <f>D25/F25</f>
        <v>1</v>
      </c>
      <c r="AB25" s="1897">
        <f>D25/H25</f>
        <v>1</v>
      </c>
      <c r="AC25" s="1897">
        <f>D25/J25</f>
        <v>1</v>
      </c>
    </row>
    <row r="26" spans="1:29" s="35" customFormat="1" ht="15">
      <c r="A26" s="633"/>
      <c r="B26" s="616"/>
      <c r="C26" s="2489"/>
      <c r="D26" s="427"/>
      <c r="E26" s="2478"/>
      <c r="F26" s="427"/>
      <c r="G26" s="2478"/>
      <c r="H26" s="427"/>
      <c r="I26" s="2478"/>
      <c r="J26" s="427"/>
      <c r="K26" s="655"/>
      <c r="L26" s="1240"/>
      <c r="M26" s="1241"/>
      <c r="N26" s="1241"/>
      <c r="O26" s="1242"/>
      <c r="P26" s="3069"/>
      <c r="Q26" s="1881"/>
      <c r="R26" s="748"/>
      <c r="S26" s="749"/>
      <c r="T26" s="748"/>
      <c r="U26" s="749"/>
      <c r="V26" s="748"/>
      <c r="W26" s="749"/>
      <c r="X26" s="750"/>
      <c r="Y26" s="3069"/>
      <c r="Z26" s="23"/>
      <c r="AA26" s="751">
        <v>1</v>
      </c>
      <c r="AB26" s="751">
        <v>1</v>
      </c>
      <c r="AC26" s="751">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69"/>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69"/>
      <c r="Z27" s="1896" t="str">
        <f t="shared" ref="Z27:Z40" si="13">Q27</f>
        <v>临街状况</v>
      </c>
      <c r="AA27" s="1897">
        <f t="shared" si="3"/>
        <v>1</v>
      </c>
      <c r="AB27" s="1897">
        <f t="shared" si="4"/>
        <v>1</v>
      </c>
      <c r="AC27" s="1897">
        <f t="shared" si="5"/>
        <v>1</v>
      </c>
    </row>
    <row r="28" spans="1:29" ht="27">
      <c r="A28" s="408"/>
      <c r="B28" s="617" t="s">
        <v>2472</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69"/>
      <c r="Q28" s="1893" t="str">
        <f t="shared" si="8"/>
        <v>毗邻道路的类型与等级</v>
      </c>
      <c r="R28" s="752" t="s">
        <v>25</v>
      </c>
      <c r="S28" s="753">
        <f t="shared" si="10"/>
        <v>100</v>
      </c>
      <c r="T28" s="752" t="s">
        <v>25</v>
      </c>
      <c r="U28" s="753">
        <f t="shared" si="11"/>
        <v>100</v>
      </c>
      <c r="V28" s="752" t="s">
        <v>25</v>
      </c>
      <c r="W28" s="753">
        <f t="shared" si="12"/>
        <v>100</v>
      </c>
      <c r="X28" s="1894"/>
      <c r="Y28" s="306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69"/>
      <c r="Q29" s="1893"/>
      <c r="R29" s="752"/>
      <c r="S29" s="753"/>
      <c r="T29" s="752"/>
      <c r="U29" s="753"/>
      <c r="V29" s="752"/>
      <c r="W29" s="753"/>
      <c r="X29" s="1894"/>
      <c r="Y29" s="3069"/>
      <c r="Z29" s="1896"/>
      <c r="AA29" s="1897">
        <v>1</v>
      </c>
      <c r="AB29" s="1897">
        <v>1</v>
      </c>
      <c r="AC29" s="1897">
        <v>1</v>
      </c>
    </row>
    <row r="30" spans="1:29" ht="15">
      <c r="A30" s="408"/>
      <c r="B30" s="637" t="s">
        <v>2539</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69"/>
      <c r="Q30" s="1893" t="str">
        <f t="shared" si="8"/>
        <v>土地级别</v>
      </c>
      <c r="R30" s="752" t="s">
        <v>25</v>
      </c>
      <c r="S30" s="753">
        <f t="shared" si="10"/>
        <v>100</v>
      </c>
      <c r="T30" s="752" t="s">
        <v>25</v>
      </c>
      <c r="U30" s="753">
        <f t="shared" si="11"/>
        <v>100</v>
      </c>
      <c r="V30" s="752" t="s">
        <v>25</v>
      </c>
      <c r="W30" s="753">
        <f t="shared" si="12"/>
        <v>100</v>
      </c>
      <c r="X30" s="1894"/>
      <c r="Y30" s="3069"/>
      <c r="Z30" s="1896" t="str">
        <f t="shared" si="13"/>
        <v>土地级别</v>
      </c>
      <c r="AA30" s="1897">
        <f t="shared" si="3"/>
        <v>1</v>
      </c>
      <c r="AB30" s="1897">
        <f t="shared" si="4"/>
        <v>1</v>
      </c>
      <c r="AC30" s="1897">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69"/>
      <c r="Q31" s="1893">
        <f t="shared" si="8"/>
        <v>111</v>
      </c>
      <c r="R31" s="752" t="s">
        <v>25</v>
      </c>
      <c r="S31" s="753">
        <f t="shared" si="10"/>
        <v>100</v>
      </c>
      <c r="T31" s="752" t="s">
        <v>25</v>
      </c>
      <c r="U31" s="753">
        <f t="shared" si="11"/>
        <v>100</v>
      </c>
      <c r="V31" s="752" t="s">
        <v>25</v>
      </c>
      <c r="W31" s="753">
        <f t="shared" si="12"/>
        <v>100</v>
      </c>
      <c r="X31" s="1894"/>
      <c r="Y31" s="3069"/>
      <c r="Z31" s="1896">
        <f t="shared" si="13"/>
        <v>111</v>
      </c>
      <c r="AA31" s="1897">
        <f t="shared" si="3"/>
        <v>1</v>
      </c>
      <c r="AB31" s="1897">
        <f t="shared" si="4"/>
        <v>1</v>
      </c>
      <c r="AC31" s="1897">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01" t="s">
        <v>2360</v>
      </c>
      <c r="Q32" s="1893">
        <f t="shared" si="8"/>
        <v>111</v>
      </c>
      <c r="R32" s="752" t="s">
        <v>25</v>
      </c>
      <c r="S32" s="753">
        <f t="shared" si="10"/>
        <v>100</v>
      </c>
      <c r="T32" s="752" t="s">
        <v>25</v>
      </c>
      <c r="U32" s="753">
        <f t="shared" si="11"/>
        <v>100</v>
      </c>
      <c r="V32" s="752" t="s">
        <v>25</v>
      </c>
      <c r="W32" s="753">
        <f t="shared" si="12"/>
        <v>100</v>
      </c>
      <c r="X32" s="1894"/>
      <c r="Y32" s="3073" t="s">
        <v>2360</v>
      </c>
      <c r="Z32" s="1896">
        <f t="shared" si="13"/>
        <v>111</v>
      </c>
      <c r="AA32" s="1897">
        <f t="shared" si="3"/>
        <v>1</v>
      </c>
      <c r="AB32" s="1897">
        <f t="shared" si="4"/>
        <v>1</v>
      </c>
      <c r="AC32" s="1897">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73"/>
      <c r="Q33" s="1893">
        <f t="shared" si="8"/>
        <v>111</v>
      </c>
      <c r="R33" s="755" t="s">
        <v>25</v>
      </c>
      <c r="S33" s="756">
        <f t="shared" si="10"/>
        <v>100</v>
      </c>
      <c r="T33" s="755" t="s">
        <v>25</v>
      </c>
      <c r="U33" s="756">
        <f t="shared" si="11"/>
        <v>100</v>
      </c>
      <c r="V33" s="755" t="s">
        <v>25</v>
      </c>
      <c r="W33" s="756">
        <f t="shared" si="12"/>
        <v>100</v>
      </c>
      <c r="X33" s="757"/>
      <c r="Y33" s="3073"/>
      <c r="Z33" s="758">
        <f t="shared" si="13"/>
        <v>111</v>
      </c>
      <c r="AA33" s="1897">
        <f t="shared" si="3"/>
        <v>1</v>
      </c>
      <c r="AB33" s="1897">
        <f t="shared" si="4"/>
        <v>1</v>
      </c>
      <c r="AC33" s="1897">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73"/>
      <c r="Q34" s="1893" t="str">
        <f>B34</f>
        <v>宗地面积</v>
      </c>
      <c r="R34" s="752" t="s">
        <v>25</v>
      </c>
      <c r="S34" s="753" t="e">
        <f t="shared" si="10"/>
        <v>#N/A</v>
      </c>
      <c r="T34" s="752" t="s">
        <v>25</v>
      </c>
      <c r="U34" s="753" t="e">
        <f t="shared" si="11"/>
        <v>#N/A</v>
      </c>
      <c r="V34" s="752" t="s">
        <v>25</v>
      </c>
      <c r="W34" s="753" t="e">
        <f t="shared" si="12"/>
        <v>#N/A</v>
      </c>
      <c r="X34" s="1894"/>
      <c r="Y34" s="3073"/>
      <c r="Z34" s="1896" t="str">
        <f t="shared" si="13"/>
        <v>宗地面积</v>
      </c>
      <c r="AA34" s="1897" t="e">
        <f t="shared" si="3"/>
        <v>#N/A</v>
      </c>
      <c r="AB34" s="1897" t="e">
        <f t="shared" si="4"/>
        <v>#N/A</v>
      </c>
      <c r="AC34" s="1897" t="e">
        <f t="shared" si="5"/>
        <v>#N/A</v>
      </c>
    </row>
    <row r="35" spans="1:29" ht="15">
      <c r="A35" s="453"/>
      <c r="B35" s="402" t="s">
        <v>2541</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8"/>
      <c r="M35" s="1239"/>
      <c r="N35" s="1239"/>
      <c r="O35" s="1247"/>
      <c r="P35" s="3073"/>
      <c r="Q35" s="1893" t="str">
        <f t="shared" ref="Q35:Q40" si="14">B35</f>
        <v>宗地形状</v>
      </c>
      <c r="R35" s="752" t="s">
        <v>25</v>
      </c>
      <c r="S35" s="753">
        <f t="shared" si="10"/>
        <v>100</v>
      </c>
      <c r="T35" s="752" t="s">
        <v>25</v>
      </c>
      <c r="U35" s="753">
        <f t="shared" si="11"/>
        <v>100</v>
      </c>
      <c r="V35" s="752" t="s">
        <v>25</v>
      </c>
      <c r="W35" s="753">
        <f t="shared" si="12"/>
        <v>100</v>
      </c>
      <c r="X35" s="1894"/>
      <c r="Y35" s="3073"/>
      <c r="Z35" s="1896" t="str">
        <f t="shared" si="13"/>
        <v>宗地形状</v>
      </c>
      <c r="AA35" s="1897">
        <f t="shared" si="3"/>
        <v>1</v>
      </c>
      <c r="AB35" s="1897">
        <f t="shared" si="4"/>
        <v>1</v>
      </c>
      <c r="AC35" s="1897">
        <f t="shared" si="5"/>
        <v>1</v>
      </c>
    </row>
    <row r="36" spans="1:29" s="35" customFormat="1" ht="15">
      <c r="A36" s="454"/>
      <c r="B36" s="402" t="s">
        <v>2543</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40"/>
      <c r="M36" s="1241"/>
      <c r="N36" s="1241"/>
      <c r="O36" s="1242"/>
      <c r="P36" s="3073"/>
      <c r="Q36" s="1893" t="str">
        <f t="shared" si="14"/>
        <v>宗地开发程度</v>
      </c>
      <c r="R36" s="748" t="s">
        <v>25</v>
      </c>
      <c r="S36" s="749">
        <f t="shared" si="10"/>
        <v>100</v>
      </c>
      <c r="T36" s="748" t="s">
        <v>25</v>
      </c>
      <c r="U36" s="749">
        <f t="shared" si="11"/>
        <v>100</v>
      </c>
      <c r="V36" s="748" t="s">
        <v>25</v>
      </c>
      <c r="W36" s="749">
        <f t="shared" si="12"/>
        <v>100</v>
      </c>
      <c r="X36" s="750"/>
      <c r="Y36" s="3073"/>
      <c r="Z36" s="23" t="str">
        <f t="shared" si="13"/>
        <v>宗地开发程度</v>
      </c>
      <c r="AA36" s="751">
        <f t="shared" si="3"/>
        <v>1</v>
      </c>
      <c r="AB36" s="751">
        <f t="shared" si="4"/>
        <v>1</v>
      </c>
      <c r="AC36" s="751">
        <f t="shared" si="5"/>
        <v>1</v>
      </c>
    </row>
    <row r="37" spans="1:29" ht="15">
      <c r="A37" s="453"/>
      <c r="B37" s="402" t="s">
        <v>2544</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8"/>
      <c r="M37" s="1239"/>
      <c r="N37" s="1239"/>
      <c r="O37" s="1247"/>
      <c r="P37" s="3073" t="s">
        <v>2360</v>
      </c>
      <c r="Q37" s="1893" t="str">
        <f t="shared" si="14"/>
        <v>工程地质条件</v>
      </c>
      <c r="R37" s="752" t="s">
        <v>25</v>
      </c>
      <c r="S37" s="753">
        <f t="shared" si="10"/>
        <v>100</v>
      </c>
      <c r="T37" s="752" t="s">
        <v>25</v>
      </c>
      <c r="U37" s="753">
        <f t="shared" si="11"/>
        <v>100</v>
      </c>
      <c r="V37" s="752" t="s">
        <v>25</v>
      </c>
      <c r="W37" s="753">
        <f t="shared" si="12"/>
        <v>100</v>
      </c>
      <c r="X37" s="1894"/>
      <c r="Y37" s="3073" t="s">
        <v>2360</v>
      </c>
      <c r="Z37" s="1896" t="str">
        <f t="shared" si="13"/>
        <v>工程地质条件</v>
      </c>
      <c r="AA37" s="1897">
        <f t="shared" si="3"/>
        <v>1</v>
      </c>
      <c r="AB37" s="1897">
        <f t="shared" si="4"/>
        <v>1</v>
      </c>
      <c r="AC37" s="1897">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73"/>
      <c r="Q38" s="1893">
        <f t="shared" si="14"/>
        <v>111</v>
      </c>
      <c r="R38" s="752" t="s">
        <v>25</v>
      </c>
      <c r="S38" s="753">
        <f t="shared" si="10"/>
        <v>100</v>
      </c>
      <c r="T38" s="752" t="s">
        <v>25</v>
      </c>
      <c r="U38" s="753">
        <f t="shared" si="11"/>
        <v>100</v>
      </c>
      <c r="V38" s="752" t="s">
        <v>25</v>
      </c>
      <c r="W38" s="753">
        <f t="shared" si="12"/>
        <v>100</v>
      </c>
      <c r="X38" s="1894"/>
      <c r="Y38" s="3073"/>
      <c r="Z38" s="1896">
        <f t="shared" si="13"/>
        <v>111</v>
      </c>
      <c r="AA38" s="1897">
        <f t="shared" si="3"/>
        <v>1</v>
      </c>
      <c r="AB38" s="1897">
        <f t="shared" si="4"/>
        <v>1</v>
      </c>
      <c r="AC38" s="1897">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73"/>
      <c r="Q39" s="1893">
        <f t="shared" si="14"/>
        <v>111</v>
      </c>
      <c r="R39" s="752" t="s">
        <v>25</v>
      </c>
      <c r="S39" s="753">
        <f t="shared" si="10"/>
        <v>100</v>
      </c>
      <c r="T39" s="752" t="s">
        <v>25</v>
      </c>
      <c r="U39" s="753">
        <f t="shared" si="11"/>
        <v>100</v>
      </c>
      <c r="V39" s="752" t="s">
        <v>25</v>
      </c>
      <c r="W39" s="753">
        <f t="shared" si="12"/>
        <v>100</v>
      </c>
      <c r="X39" s="1894"/>
      <c r="Y39" s="3073"/>
      <c r="Z39" s="1896">
        <f t="shared" si="13"/>
        <v>111</v>
      </c>
      <c r="AA39" s="1897">
        <f t="shared" si="3"/>
        <v>1</v>
      </c>
      <c r="AB39" s="1897">
        <f t="shared" si="4"/>
        <v>1</v>
      </c>
      <c r="AC39" s="1897">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73"/>
      <c r="Q40" s="1893">
        <f t="shared" si="14"/>
        <v>111</v>
      </c>
      <c r="R40" s="755" t="s">
        <v>25</v>
      </c>
      <c r="S40" s="756">
        <f t="shared" si="10"/>
        <v>100</v>
      </c>
      <c r="T40" s="755" t="s">
        <v>25</v>
      </c>
      <c r="U40" s="756">
        <f t="shared" si="11"/>
        <v>100</v>
      </c>
      <c r="V40" s="755" t="s">
        <v>25</v>
      </c>
      <c r="W40" s="756">
        <f t="shared" si="12"/>
        <v>100</v>
      </c>
      <c r="X40" s="757"/>
      <c r="Y40" s="3073"/>
      <c r="Z40" s="758">
        <f t="shared" si="13"/>
        <v>111</v>
      </c>
      <c r="AA40" s="1897">
        <f t="shared" si="3"/>
        <v>1</v>
      </c>
      <c r="AB40" s="1897">
        <f t="shared" si="4"/>
        <v>1</v>
      </c>
      <c r="AC40" s="1897">
        <f t="shared" si="5"/>
        <v>1</v>
      </c>
    </row>
    <row r="41" spans="1:29" ht="15">
      <c r="A41" s="460" t="s">
        <v>2508</v>
      </c>
      <c r="B41" s="2483" t="s">
        <v>2583</v>
      </c>
      <c r="C41" s="665" t="s">
        <v>1</v>
      </c>
      <c r="D41" s="462"/>
      <c r="E41" s="463"/>
      <c r="F41" s="464"/>
      <c r="G41" s="465"/>
      <c r="H41" s="466"/>
      <c r="I41" s="463"/>
      <c r="J41" s="466"/>
      <c r="K41" s="761"/>
      <c r="L41" s="1251"/>
      <c r="M41" s="1239"/>
      <c r="N41" s="1239"/>
      <c r="O41" s="1252"/>
      <c r="P41" s="3079" t="str">
        <f>A41</f>
        <v>成交单价</v>
      </c>
      <c r="Q41" s="3079"/>
      <c r="R41" s="3063">
        <f>E41</f>
        <v>0</v>
      </c>
      <c r="S41" s="3063"/>
      <c r="T41" s="3063">
        <f>G41</f>
        <v>0</v>
      </c>
      <c r="U41" s="3063"/>
      <c r="V41" s="3063">
        <f>I41</f>
        <v>0</v>
      </c>
      <c r="W41" s="3063"/>
      <c r="X41" s="737"/>
      <c r="Y41" s="759"/>
      <c r="Z41" s="737"/>
      <c r="AA41" s="737"/>
      <c r="AB41" s="737"/>
      <c r="AC41" s="737"/>
    </row>
    <row r="42" spans="1:29" ht="15.75" thickBot="1">
      <c r="A42" s="467" t="s">
        <v>2455</v>
      </c>
      <c r="B42" s="666"/>
      <c r="C42" s="471" t="e">
        <f>R43</f>
        <v>#DIV/0!</v>
      </c>
      <c r="D42" s="470"/>
      <c r="E42" s="471" t="e">
        <f>R42</f>
        <v>#DIV/0!</v>
      </c>
      <c r="F42" s="472"/>
      <c r="G42" s="469" t="e">
        <f>T42</f>
        <v>#DIV/0!</v>
      </c>
      <c r="H42" s="470"/>
      <c r="I42" s="471" t="e">
        <f>V42</f>
        <v>#DIV/0!</v>
      </c>
      <c r="J42" s="470"/>
      <c r="K42" s="762"/>
      <c r="L42" s="1251"/>
      <c r="M42" s="1239"/>
      <c r="N42" s="1239"/>
      <c r="O42" s="1252"/>
      <c r="P42" s="3079" t="str">
        <f>A42</f>
        <v>比较价值（元/平方米）</v>
      </c>
      <c r="Q42" s="3079"/>
      <c r="R42" s="3102" t="e">
        <f>ROUND(PRODUCT(R41,AA7:AA40),0)</f>
        <v>#DIV/0!</v>
      </c>
      <c r="S42" s="3102"/>
      <c r="T42" s="3102" t="e">
        <f>ROUND(PRODUCT(T41,AB7:AB40),0)</f>
        <v>#DIV/0!</v>
      </c>
      <c r="U42" s="3102"/>
      <c r="V42" s="3102" t="e">
        <f>ROUND(PRODUCT(V41,AC7:AC40),0)</f>
        <v>#DIV/0!</v>
      </c>
      <c r="W42" s="3102"/>
      <c r="X42" s="737"/>
      <c r="Y42" s="737"/>
      <c r="Z42" s="737"/>
      <c r="AA42" s="737"/>
      <c r="AB42" s="737"/>
      <c r="AC42" s="737"/>
    </row>
    <row r="43" spans="1:29" ht="15.75" thickBot="1">
      <c r="A43" s="473" t="s">
        <v>2478</v>
      </c>
      <c r="B43" s="474"/>
      <c r="C43" s="475" t="e">
        <f>R43</f>
        <v>#DIV/0!</v>
      </c>
      <c r="D43" s="475"/>
      <c r="E43" s="475"/>
      <c r="F43" s="475"/>
      <c r="G43" s="475"/>
      <c r="H43" s="475"/>
      <c r="I43" s="475"/>
      <c r="J43" s="475"/>
      <c r="K43" s="763"/>
      <c r="L43" s="1251"/>
      <c r="M43" s="1239"/>
      <c r="N43" s="1239"/>
      <c r="O43" s="1252"/>
      <c r="P43" s="3085" t="str">
        <f>A43</f>
        <v>估价对象XX用房的比较价值（楼面单价，元/平方米）</v>
      </c>
      <c r="Q43" s="3086"/>
      <c r="R43" s="3103" t="e">
        <f>ROUND(AVERAGE(R42:V42),0)</f>
        <v>#DIV/0!</v>
      </c>
      <c r="S43" s="3103"/>
      <c r="T43" s="3103"/>
      <c r="U43" s="3103"/>
      <c r="V43" s="3103"/>
      <c r="W43" s="3103"/>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2546</v>
      </c>
      <c r="B50" s="668" t="s">
        <v>2547</v>
      </c>
      <c r="C50" s="2484" t="s">
        <v>2548</v>
      </c>
      <c r="D50" s="2485" t="s">
        <v>2549</v>
      </c>
      <c r="E50" s="669" t="s">
        <v>2550</v>
      </c>
      <c r="F50" s="670" t="s">
        <v>2551</v>
      </c>
      <c r="G50" s="1896" t="s">
        <v>2584</v>
      </c>
      <c r="H50" s="1896" t="str">
        <f>项目基本情况!G8</f>
        <v>XX</v>
      </c>
      <c r="I50" s="1844" t="s">
        <v>2553</v>
      </c>
      <c r="J50" s="1257"/>
      <c r="K50" s="1253"/>
      <c r="L50" s="1253"/>
      <c r="M50" s="1252"/>
      <c r="N50" s="1252"/>
      <c r="O50" s="1252"/>
    </row>
    <row r="51" spans="1:17" s="675" customFormat="1">
      <c r="A51" s="671" t="s">
        <v>2554</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2555</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2556</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2557</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2558</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2559</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2560</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2561</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2562</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2563</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2564</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2020-2-1</v>
      </c>
      <c r="D63" s="1665">
        <f>EDATE(C63,-3)</f>
        <v>43770</v>
      </c>
      <c r="E63" s="1665">
        <f t="shared" ref="E63:O63" si="18">EDATE(D63,-3)</f>
        <v>43678</v>
      </c>
      <c r="F63" s="1665">
        <f t="shared" si="18"/>
        <v>43586</v>
      </c>
      <c r="G63" s="1665">
        <f t="shared" si="18"/>
        <v>43497</v>
      </c>
      <c r="H63" s="1665">
        <f t="shared" si="18"/>
        <v>43405</v>
      </c>
      <c r="I63" s="1665">
        <f t="shared" si="18"/>
        <v>43313</v>
      </c>
      <c r="J63" s="1665">
        <f t="shared" si="18"/>
        <v>43221</v>
      </c>
      <c r="K63" s="1665">
        <f t="shared" si="18"/>
        <v>43132</v>
      </c>
      <c r="L63" s="1665">
        <f t="shared" si="18"/>
        <v>43040</v>
      </c>
      <c r="M63" s="1665">
        <f t="shared" si="18"/>
        <v>42948</v>
      </c>
      <c r="N63" s="1665">
        <f t="shared" si="18"/>
        <v>42856</v>
      </c>
      <c r="O63" s="1665">
        <f t="shared" si="18"/>
        <v>42767</v>
      </c>
    </row>
    <row r="64" spans="1:17" ht="21.75" thickBot="1">
      <c r="A64" s="741" t="s">
        <v>2460</v>
      </c>
      <c r="B64" s="737"/>
      <c r="C64" s="742"/>
      <c r="D64" s="742"/>
      <c r="E64" s="742"/>
      <c r="F64" s="743"/>
      <c r="G64" s="743"/>
      <c r="H64" s="742"/>
      <c r="I64" s="1268"/>
      <c r="J64" s="1268"/>
      <c r="K64" s="1266"/>
      <c r="L64" s="1267"/>
      <c r="M64" s="1268"/>
      <c r="N64" s="1268"/>
      <c r="O64" s="1268"/>
      <c r="P64" s="484"/>
      <c r="Q64" s="485"/>
    </row>
    <row r="65" spans="1:17" s="489" customFormat="1" ht="15">
      <c r="A65" s="2487" t="s">
        <v>2565</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3" t="s">
        <v>2585</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75" thickBot="1">
      <c r="A67" s="496" t="s">
        <v>2380</v>
      </c>
      <c r="B67" s="497"/>
      <c r="C67" s="498"/>
      <c r="D67" s="499"/>
      <c r="E67" s="499"/>
      <c r="F67" s="499"/>
      <c r="G67" s="499"/>
      <c r="H67" s="499"/>
      <c r="I67" s="499"/>
      <c r="J67" s="499"/>
      <c r="K67" s="499"/>
      <c r="L67" s="499"/>
      <c r="M67" s="500"/>
      <c r="N67" s="499"/>
      <c r="O67" s="1671"/>
      <c r="P67" s="485"/>
      <c r="Q67" s="485"/>
    </row>
    <row r="68" spans="1:17" s="35" customFormat="1" ht="15">
      <c r="A68" s="502" t="s">
        <v>2344</v>
      </c>
      <c r="B68" s="491"/>
      <c r="C68" s="503" t="s">
        <v>2345</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2383</v>
      </c>
      <c r="B70" s="509" t="s">
        <v>2348</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2351</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2472</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2539</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2358</v>
      </c>
      <c r="B107" s="509" t="s">
        <v>2574</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2575</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2577</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2578</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4"/>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7"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2586</v>
      </c>
      <c r="B1" s="2495"/>
      <c r="C1" s="162" t="s">
        <v>2587</v>
      </c>
      <c r="D1" s="2496">
        <f>SUM(D29:D30,D33:D39)</f>
        <v>0</v>
      </c>
      <c r="E1" s="2496"/>
      <c r="F1" s="2496"/>
      <c r="G1" s="2496"/>
      <c r="H1" s="2496"/>
      <c r="I1" s="2496"/>
      <c r="J1" s="2496"/>
      <c r="L1" s="2497" t="s">
        <v>2588</v>
      </c>
      <c r="M1" s="1114">
        <f>SUMPRODUCT((区片价!B5:B9=I2)*(区片价!C3:F3=E2)*(区片价!C5:F9))</f>
        <v>0</v>
      </c>
      <c r="N1" s="1117">
        <f>SUMPRODUCT((因素修正幅度!B5:B9=I2)*(因素修正幅度!C3:F3=E2)*(因素修正幅度!C5:F9))</f>
        <v>0</v>
      </c>
      <c r="O1" s="1457"/>
      <c r="P1" s="1457"/>
      <c r="Q1" s="1457"/>
      <c r="R1" s="1704" t="s">
        <v>2589</v>
      </c>
      <c r="S1" s="1704" t="s">
        <v>2590</v>
      </c>
      <c r="T1" s="1704" t="s">
        <v>2591</v>
      </c>
      <c r="U1" s="1704" t="s">
        <v>2592</v>
      </c>
      <c r="V1" s="1704" t="s">
        <v>2593</v>
      </c>
      <c r="W1" s="1708"/>
      <c r="X1" s="1708"/>
      <c r="Y1" s="1708"/>
      <c r="Z1" s="1708"/>
      <c r="AA1" s="1708"/>
      <c r="AB1" s="1708"/>
      <c r="AC1" s="1709"/>
      <c r="AD1" s="1710"/>
      <c r="AE1" s="1710"/>
      <c r="AF1" s="1710"/>
      <c r="AG1" s="1710"/>
      <c r="AH1" s="1710"/>
      <c r="AI1" s="1710"/>
      <c r="AJ1" s="1711"/>
    </row>
    <row r="2" spans="1:36" ht="24.75">
      <c r="A2" s="165" t="s">
        <v>2594</v>
      </c>
      <c r="B2" s="168" t="e">
        <f>C26</f>
        <v>#DIV/0!</v>
      </c>
      <c r="C2" s="2499" t="s">
        <v>2595</v>
      </c>
      <c r="D2" s="2500" t="s">
        <v>2596</v>
      </c>
      <c r="E2" s="2501"/>
      <c r="F2" s="2500" t="s">
        <v>2597</v>
      </c>
      <c r="G2" s="2502" t="str">
        <f>项目基本情况!F9</f>
        <v>二级</v>
      </c>
      <c r="H2" s="2503" t="s">
        <v>2598</v>
      </c>
      <c r="I2" s="2502" t="str">
        <f>项目基本情况!F10</f>
        <v>Ⅱ—03</v>
      </c>
      <c r="J2" s="2504"/>
      <c r="L2" s="2505" t="s">
        <v>2599</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2600</v>
      </c>
      <c r="B3" s="168" t="e">
        <f>ROUND(B2/D1,0)</f>
        <v>#DIV/0!</v>
      </c>
      <c r="C3" s="2499" t="s">
        <v>2601</v>
      </c>
      <c r="D3" s="2500" t="s">
        <v>2602</v>
      </c>
      <c r="E3" s="2506"/>
      <c r="F3" s="2507" t="s">
        <v>2603</v>
      </c>
      <c r="G3" s="940">
        <f>项目基本情况!C15</f>
        <v>0</v>
      </c>
      <c r="H3" s="115" t="s">
        <v>2604</v>
      </c>
      <c r="I3" s="969"/>
      <c r="J3" s="2504" t="s">
        <v>2605</v>
      </c>
      <c r="L3" s="2505" t="s">
        <v>2606</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22"/>
      <c r="B4" s="3123"/>
      <c r="C4" s="3123"/>
      <c r="D4" s="3124"/>
      <c r="E4" s="3124"/>
      <c r="F4" s="3124"/>
      <c r="G4" s="3124"/>
      <c r="H4" s="3124"/>
      <c r="I4" s="3124"/>
      <c r="J4" s="3125"/>
      <c r="L4" s="2505" t="s">
        <v>2607</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6" customFormat="1" ht="15.75" thickBot="1">
      <c r="A5" s="2508" t="s">
        <v>2608</v>
      </c>
      <c r="B5" s="2509" t="s">
        <v>2609</v>
      </c>
      <c r="C5" s="2715" t="e">
        <f>ROUND(IF(E2="商业",C6*C7+C16,(IF(E2="住宅",C6*C12+C16,C6+C16))),0)</f>
        <v>#DIV/0!</v>
      </c>
      <c r="D5" s="2716" t="e">
        <f>ROUND(C6+C16,0)</f>
        <v>#DIV/0!</v>
      </c>
      <c r="E5" s="2716"/>
      <c r="F5" s="2717"/>
      <c r="G5" s="2510"/>
      <c r="H5" s="2510"/>
      <c r="I5" s="2510"/>
      <c r="J5" s="2511"/>
      <c r="K5" s="2512"/>
      <c r="L5" s="2505" t="s">
        <v>2610</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3"/>
      <c r="AD5" s="2514"/>
      <c r="AE5" s="2514"/>
      <c r="AF5" s="2514"/>
      <c r="AG5" s="2514"/>
      <c r="AH5" s="2514"/>
      <c r="AI5" s="2514"/>
      <c r="AJ5" s="2515"/>
    </row>
    <row r="6" spans="1:36" ht="15.75" thickBot="1">
      <c r="A6" s="2517">
        <v>1</v>
      </c>
      <c r="B6" s="2518" t="s">
        <v>2611</v>
      </c>
      <c r="C6" s="941">
        <f>SUMIF(L1:L12,G2,M1:M12)</f>
        <v>0</v>
      </c>
      <c r="D6" s="2519" t="s">
        <v>2612</v>
      </c>
      <c r="E6" s="2520"/>
      <c r="F6" s="2520"/>
      <c r="G6" s="2521"/>
      <c r="H6" s="2521"/>
      <c r="I6" s="2521"/>
      <c r="J6" s="2522"/>
      <c r="K6" s="2523"/>
      <c r="L6" s="2505" t="s">
        <v>2613</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3"/>
      <c r="AD6" s="2514"/>
      <c r="AE6" s="2514"/>
      <c r="AF6" s="2514"/>
      <c r="AG6" s="2514"/>
      <c r="AH6" s="2514"/>
      <c r="AI6" s="2514"/>
      <c r="AJ6" s="2515"/>
    </row>
    <row r="7" spans="1:36" ht="24">
      <c r="A7" s="3126" t="str">
        <f>IF(E2="商业",IF(C8="不临58条商业街","",2),"")</f>
        <v/>
      </c>
      <c r="B7" s="2524" t="s">
        <v>2614</v>
      </c>
      <c r="C7" s="942" t="e">
        <f>IF(C8="不临58条商业街",1,ROUND(1+(1.6*E8+1.2*E9+0.8*E10+0.4*E11)*C9,4))</f>
        <v>#DIV/0!</v>
      </c>
      <c r="D7" s="2525" t="s">
        <v>2615</v>
      </c>
      <c r="E7" s="970"/>
      <c r="F7" s="2526"/>
      <c r="G7" s="2527"/>
      <c r="H7" s="2527"/>
      <c r="I7" s="2527"/>
      <c r="J7" s="2528"/>
      <c r="K7" s="2523"/>
      <c r="L7" s="2505" t="s">
        <v>2616</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2617</v>
      </c>
      <c r="X7" s="1706" t="str">
        <f>G2</f>
        <v>二级</v>
      </c>
      <c r="Y7" s="1706" t="s">
        <v>2618</v>
      </c>
      <c r="Z7" s="1707">
        <f>G3</f>
        <v>0</v>
      </c>
      <c r="AA7" s="1708"/>
      <c r="AB7" s="1708"/>
      <c r="AC7" s="1709"/>
      <c r="AD7" s="1710"/>
      <c r="AE7" s="1710"/>
      <c r="AF7" s="1710"/>
      <c r="AG7" s="1710"/>
      <c r="AH7" s="1710"/>
      <c r="AI7" s="1710"/>
      <c r="AJ7" s="1711"/>
    </row>
    <row r="8" spans="1:36" ht="15">
      <c r="A8" s="3127"/>
      <c r="B8" s="115" t="s">
        <v>2619</v>
      </c>
      <c r="C8" s="2529"/>
      <c r="D8" s="943" t="s">
        <v>89</v>
      </c>
      <c r="E8" s="944" t="e">
        <f>ROUND(C11/E7,4)</f>
        <v>#DIV/0!</v>
      </c>
      <c r="F8" s="2530" t="s">
        <v>2620</v>
      </c>
      <c r="G8" s="2531"/>
      <c r="H8" s="2531"/>
      <c r="I8" s="2531"/>
      <c r="J8" s="2532"/>
      <c r="L8" s="2505" t="s">
        <v>2621</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19" t="s">
        <v>2622</v>
      </c>
      <c r="X8" s="3120"/>
      <c r="Y8" s="1712" t="s">
        <v>2623</v>
      </c>
      <c r="Z8" s="1712" t="s">
        <v>2624</v>
      </c>
      <c r="AA8" s="1712" t="s">
        <v>2625</v>
      </c>
      <c r="AB8" s="1712" t="s">
        <v>2626</v>
      </c>
      <c r="AC8" s="1712" t="s">
        <v>2627</v>
      </c>
      <c r="AD8" s="1712" t="s">
        <v>2628</v>
      </c>
      <c r="AE8" s="1712" t="s">
        <v>2629</v>
      </c>
      <c r="AF8" s="1712" t="s">
        <v>2630</v>
      </c>
      <c r="AG8" s="1712" t="s">
        <v>2631</v>
      </c>
      <c r="AH8" s="1712" t="s">
        <v>2632</v>
      </c>
      <c r="AI8" s="1712" t="s">
        <v>2633</v>
      </c>
      <c r="AJ8" s="1712" t="s">
        <v>2634</v>
      </c>
    </row>
    <row r="9" spans="1:36" ht="15">
      <c r="A9" s="3127"/>
      <c r="B9" s="115" t="s">
        <v>2635</v>
      </c>
      <c r="C9" s="945">
        <f>SUMIF(修正!C59:C119,C8,修正!E59:E119)</f>
        <v>0</v>
      </c>
      <c r="D9" s="117" t="s">
        <v>90</v>
      </c>
      <c r="E9" s="117" t="e">
        <f>ROUND(C11/E7,4)</f>
        <v>#DIV/0!</v>
      </c>
      <c r="F9" s="2530" t="s">
        <v>2636</v>
      </c>
      <c r="G9" s="2531"/>
      <c r="H9" s="2531"/>
      <c r="I9" s="2531"/>
      <c r="J9" s="2532"/>
      <c r="L9" s="2505" t="s">
        <v>2637</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21" t="s">
        <v>2638</v>
      </c>
      <c r="X9" s="1713" t="s">
        <v>2639</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27"/>
      <c r="B10" s="115" t="s">
        <v>2640</v>
      </c>
      <c r="C10" s="117">
        <f>SUMIF(修正!C59:C119,C8,修正!F59:F119)</f>
        <v>0</v>
      </c>
      <c r="D10" s="117" t="s">
        <v>91</v>
      </c>
      <c r="E10" s="117" t="e">
        <f>ROUND(C11/E7,4)</f>
        <v>#DIV/0!</v>
      </c>
      <c r="F10" s="2530" t="s">
        <v>2641</v>
      </c>
      <c r="G10" s="2531"/>
      <c r="H10" s="2531"/>
      <c r="I10" s="2531"/>
      <c r="J10" s="2532"/>
      <c r="L10" s="2505" t="s">
        <v>2642</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21"/>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27"/>
      <c r="B11" s="2533" t="s">
        <v>2643</v>
      </c>
      <c r="C11" s="946">
        <f>C10/4</f>
        <v>0</v>
      </c>
      <c r="D11" s="946" t="s">
        <v>92</v>
      </c>
      <c r="E11" s="946" t="e">
        <f>ROUND(C11/E7,4)</f>
        <v>#DIV/0!</v>
      </c>
      <c r="F11" s="2534" t="s">
        <v>2644</v>
      </c>
      <c r="G11" s="2535"/>
      <c r="H11" s="2535"/>
      <c r="I11" s="2535"/>
      <c r="J11" s="2536"/>
      <c r="L11" s="2505" t="s">
        <v>2645</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21" t="s">
        <v>2646</v>
      </c>
      <c r="X11" s="1717" t="s">
        <v>2647</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26" t="str">
        <f>IF(E2="住宅",2,"")</f>
        <v/>
      </c>
      <c r="B12" s="2537" t="s">
        <v>2648</v>
      </c>
      <c r="C12" s="942">
        <f>ROUND(C15*D15*E15*F15*G15*H15*I15*J15,4)</f>
        <v>1.32</v>
      </c>
      <c r="D12" s="2538" t="s">
        <v>2649</v>
      </c>
      <c r="E12" s="2539"/>
      <c r="F12" s="2539"/>
      <c r="G12" s="2540"/>
      <c r="H12" s="2540"/>
      <c r="I12" s="2540"/>
      <c r="J12" s="2541"/>
      <c r="L12" s="2542" t="s">
        <v>2650</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21"/>
      <c r="X12" s="1719" t="s">
        <v>2651</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28"/>
      <c r="B13" s="2543" t="s">
        <v>2652</v>
      </c>
      <c r="C13" s="2544" t="s">
        <v>2653</v>
      </c>
      <c r="D13" s="2545" t="s">
        <v>2654</v>
      </c>
      <c r="E13" s="2545" t="s">
        <v>2655</v>
      </c>
      <c r="F13" s="20" t="s">
        <v>2656</v>
      </c>
      <c r="G13" s="2546" t="s">
        <v>2657</v>
      </c>
      <c r="H13" s="2546" t="s">
        <v>2657</v>
      </c>
      <c r="I13" s="2546" t="s">
        <v>2657</v>
      </c>
      <c r="J13" s="2547" t="s">
        <v>2657</v>
      </c>
      <c r="L13" s="1457"/>
      <c r="M13" s="1457"/>
      <c r="N13" s="1457"/>
      <c r="O13" s="1457"/>
      <c r="P13" s="1457"/>
      <c r="Q13" s="1457"/>
      <c r="R13" s="1704">
        <v>12</v>
      </c>
      <c r="S13" s="1705"/>
      <c r="T13" s="1704" t="e">
        <f t="shared" si="0"/>
        <v>#DIV/0!</v>
      </c>
      <c r="U13" s="1705"/>
      <c r="V13" s="1704" t="e">
        <f t="shared" si="1"/>
        <v>#DIV/0!</v>
      </c>
      <c r="W13" s="3121"/>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28"/>
      <c r="B14" s="2548"/>
      <c r="C14" s="2549" t="s">
        <v>2658</v>
      </c>
      <c r="D14" s="2550" t="s">
        <v>2659</v>
      </c>
      <c r="E14" s="2550" t="s">
        <v>2659</v>
      </c>
      <c r="F14" s="2551" t="s">
        <v>2660</v>
      </c>
      <c r="G14" s="2552" t="s">
        <v>2661</v>
      </c>
      <c r="H14" s="2553"/>
      <c r="I14" s="2554"/>
      <c r="J14" s="2555"/>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29"/>
      <c r="B15" s="2556" t="s">
        <v>2662</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04" t="b">
        <f>IF(E2="办公",2,IF(E2="工业",2,IF(E2="住宅",3,IF(E2="商业",IF(C8="不临58条商业街",2,3)))))</f>
        <v>0</v>
      </c>
      <c r="B16" s="2724" t="s">
        <v>2668</v>
      </c>
      <c r="C16" s="2718" t="e">
        <f>ROUND(IF(F17="与级别开发程度一致",0,(G17-E17)/C17),0)</f>
        <v>#DIV/0!</v>
      </c>
      <c r="D16" s="3117" t="s">
        <v>2672</v>
      </c>
      <c r="E16" s="3118"/>
      <c r="F16" s="3117" t="s">
        <v>2669</v>
      </c>
      <c r="G16" s="3118"/>
      <c r="H16" s="2559"/>
      <c r="I16" s="2559"/>
      <c r="J16" s="2731"/>
      <c r="K16" s="2559"/>
      <c r="L16" s="2559"/>
      <c r="M16" s="2559"/>
      <c r="N16" s="2559"/>
      <c r="O16" s="2560"/>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05"/>
      <c r="B17" s="2725" t="s">
        <v>2671</v>
      </c>
      <c r="C17" s="2726">
        <f>SUMPRODUCT((修正!A2:A5=E2)*(修正!B1:M1=G2)*(修正!B2:M5))</f>
        <v>0</v>
      </c>
      <c r="D17" s="150" t="str">
        <f>IF(OR(G2="八级",G2="九级",G2="十级",G2="十一级",G2="十二级"),"五通一平","七通一平")</f>
        <v>七通一平</v>
      </c>
      <c r="E17" s="2727">
        <f>SUMPRODUCT((修正!B1:M1=G2)*(修正!B15:M15))</f>
        <v>375</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8"/>
      <c r="AH17" s="2498"/>
      <c r="AI17" s="2498"/>
      <c r="AJ17" s="2498"/>
    </row>
    <row r="18" spans="1:37" s="2516" customFormat="1" ht="15.75" thickBot="1">
      <c r="A18" s="2561" t="s">
        <v>2674</v>
      </c>
      <c r="B18" s="2719" t="s">
        <v>2675</v>
      </c>
      <c r="C18" s="2720">
        <f>SUMIF(修正!C18:C39,E3,修正!E18:E39)</f>
        <v>0</v>
      </c>
      <c r="D18" s="2721"/>
      <c r="E18" s="2722"/>
      <c r="F18" s="2722"/>
      <c r="G18" s="2722"/>
      <c r="H18" s="2722"/>
      <c r="I18" s="2722"/>
      <c r="J18" s="2723"/>
      <c r="K18" s="2564"/>
      <c r="O18" s="1457"/>
      <c r="P18" s="1457"/>
      <c r="Q18" s="1457"/>
      <c r="R18" s="1457"/>
      <c r="S18" s="1457"/>
      <c r="T18" s="1457"/>
      <c r="U18" s="1457"/>
      <c r="V18" s="1457"/>
      <c r="W18" s="1457"/>
      <c r="X18" s="1457"/>
      <c r="Y18" s="1457"/>
      <c r="Z18" s="1457"/>
      <c r="AA18" s="1457"/>
      <c r="AB18" s="1457"/>
      <c r="AC18" s="1457"/>
      <c r="AD18" s="1457"/>
      <c r="AE18" s="1458"/>
      <c r="AF18" s="1458"/>
      <c r="AG18" s="2565"/>
      <c r="AH18" s="2565"/>
      <c r="AI18" s="2565"/>
    </row>
    <row r="19" spans="1:37" s="2516" customFormat="1" ht="29.25" thickBot="1">
      <c r="A19" s="2561" t="s">
        <v>2676</v>
      </c>
      <c r="B19" s="2562" t="s">
        <v>2677</v>
      </c>
      <c r="C19" s="947">
        <f>ROUND(IF(H19="按公示增长率计算",SUMPRODUCT((地价!A3:A29=YEAR(G19)&amp;"-"&amp;ROUNDUP(MONTH(G19)/3,0))*(地价!X2:AB2=E2)*(地价!X3:AB29)),IF(H19="地价指数",M20/M19,(1+I19)^O19)),4)</f>
        <v>0</v>
      </c>
      <c r="D19" s="2566" t="s">
        <v>2678</v>
      </c>
      <c r="E19" s="948">
        <v>41640</v>
      </c>
      <c r="F19" s="2566" t="s">
        <v>2679</v>
      </c>
      <c r="G19" s="949">
        <f>'数据-取费表'!B2</f>
        <v>43888</v>
      </c>
      <c r="H19" s="2567" t="s">
        <v>2816</v>
      </c>
      <c r="I19" s="950" t="str">
        <f>IF(H19="季度增幅（自定义）",SUMIF(N21:N24,E2,O21:O24),"")</f>
        <v/>
      </c>
      <c r="J19" s="2563"/>
      <c r="K19" s="2564"/>
      <c r="L19" s="2568" t="s">
        <v>2680</v>
      </c>
      <c r="M19" s="1821">
        <f>ROUND(SUMIF(地价!B2:F2,E2,地价!B29:F29),0)</f>
        <v>0</v>
      </c>
      <c r="N19" s="1461" t="s">
        <v>2681</v>
      </c>
      <c r="O19" s="951">
        <f>ROUNDDOWN(DATEDIF(E19,G19,"M")/3,0)</f>
        <v>24</v>
      </c>
      <c r="P19" s="1458"/>
      <c r="R19" s="1457"/>
      <c r="S19" s="1457"/>
      <c r="T19" s="1457"/>
      <c r="U19" s="1457"/>
      <c r="V19" s="1457"/>
      <c r="W19" s="1457"/>
      <c r="X19" s="1457"/>
      <c r="Y19" s="1457"/>
      <c r="Z19" s="1457"/>
      <c r="AA19" s="1457"/>
      <c r="AB19" s="1457"/>
      <c r="AC19" s="1457"/>
      <c r="AD19" s="1457"/>
      <c r="AE19" s="2564"/>
      <c r="AF19" s="2569"/>
      <c r="AG19" s="2570"/>
      <c r="AH19" s="2565"/>
      <c r="AI19" s="2571"/>
      <c r="AJ19" s="2571"/>
      <c r="AK19" s="2571"/>
    </row>
    <row r="20" spans="1:37" s="2516" customFormat="1" ht="27.75" thickBot="1">
      <c r="A20" s="2572" t="s">
        <v>2682</v>
      </c>
      <c r="B20" s="2573" t="s">
        <v>2683</v>
      </c>
      <c r="C20" s="952" t="e">
        <f>ROUND(POWER(1+G20,J20-I20)*(POWER(1+G20,I20)-1)/(POWER(1+G20,J20)-1),4)</f>
        <v>#DIV/0!</v>
      </c>
      <c r="D20" s="2574" t="s">
        <v>2684</v>
      </c>
      <c r="E20" s="1851">
        <f ca="1">存贷款利率!D4/100</f>
        <v>4.3499999999999997E-2</v>
      </c>
      <c r="F20" s="2574" t="s">
        <v>2673</v>
      </c>
      <c r="G20" s="958">
        <f>SUMIF(M26:P26,E2,M28:P28)</f>
        <v>0</v>
      </c>
      <c r="H20" s="2574" t="s">
        <v>2685</v>
      </c>
      <c r="I20" s="959">
        <f>'数据-取费表'!B13</f>
        <v>51.19</v>
      </c>
      <c r="J20" s="960">
        <f>IF(E2="住宅",70,IF(E2="商业",40,50))</f>
        <v>50</v>
      </c>
      <c r="K20" s="2564"/>
      <c r="L20" s="2575" t="s">
        <v>2686</v>
      </c>
      <c r="M20" s="1822">
        <f>ROUND(SUMPRODUCT((地价!A4:A29=YEAR(G19)&amp;"-"&amp;ROUNDUP(MONTH(G19)/3,0))*(地价!B2:F2=E2)*(地价!B4:F29)),0)</f>
        <v>0</v>
      </c>
      <c r="N20" s="2576" t="s">
        <v>2687</v>
      </c>
      <c r="O20" s="2577" t="s">
        <v>2688</v>
      </c>
      <c r="P20" s="2578" t="s">
        <v>2689</v>
      </c>
      <c r="R20" s="1457"/>
      <c r="S20" s="1457"/>
      <c r="T20" s="1457"/>
      <c r="U20" s="1457"/>
      <c r="V20" s="1457"/>
      <c r="W20" s="1457"/>
      <c r="X20" s="1457"/>
      <c r="Y20" s="1457"/>
      <c r="Z20" s="1457"/>
      <c r="AA20" s="1457"/>
      <c r="AB20" s="1457"/>
      <c r="AC20" s="1457"/>
      <c r="AD20" s="1457"/>
      <c r="AE20" s="2564"/>
      <c r="AF20" s="2564"/>
    </row>
    <row r="21" spans="1:37" s="2516" customFormat="1" ht="14.25">
      <c r="A21" s="2579" t="s">
        <v>2690</v>
      </c>
      <c r="B21" s="2580" t="s">
        <v>2691</v>
      </c>
      <c r="C21" s="961" t="b">
        <f>IF(B21="容积率修正",IF(G3&lt;=10,D22,J22),C23)</f>
        <v>0</v>
      </c>
      <c r="D21" s="2581"/>
      <c r="E21" s="2581"/>
      <c r="F21" s="2581"/>
      <c r="G21" s="2581"/>
      <c r="H21" s="2581"/>
      <c r="I21" s="2581"/>
      <c r="J21" s="2582"/>
      <c r="K21" s="2564"/>
      <c r="N21" s="2583" t="s">
        <v>2692</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4"/>
      <c r="AF21" s="2564"/>
    </row>
    <row r="22" spans="1:37" s="2516" customFormat="1" ht="14.25">
      <c r="A22" s="2584">
        <v>1</v>
      </c>
      <c r="B22" s="2585" t="s">
        <v>2693</v>
      </c>
      <c r="C22" s="1893" t="s">
        <v>2694</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4"/>
      <c r="N22" s="2583" t="s">
        <v>2695</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4"/>
      <c r="AF22" s="2564"/>
    </row>
    <row r="23" spans="1:37" ht="27">
      <c r="A23" s="2584">
        <v>2</v>
      </c>
      <c r="B23" s="2585" t="s">
        <v>2696</v>
      </c>
      <c r="C23" s="953" t="e">
        <f>ROUND(IF(G3&gt;1,IF(I3&lt;7,SUMPRODUCT((B93:B98=I3)*(C92:N92=G2)*(C93:N98)),SUMIF(C92:N92,G2,C100:N100)),IF(I3&lt;7,SUMPRODUCT((B102:B107=I3)*(C92:N92=G2)*(C102:N107)),SUMIF(C92:N92,G2,C109:N109))),4)</f>
        <v>#DIV/0!</v>
      </c>
      <c r="D23" s="2553"/>
      <c r="E23" s="2553"/>
      <c r="F23" s="2586"/>
      <c r="G23" s="2587"/>
      <c r="H23" s="2588"/>
      <c r="I23" s="2589"/>
      <c r="J23" s="2590"/>
      <c r="N23" s="2583" t="s">
        <v>2697</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5"/>
    </row>
    <row r="24" spans="1:37" s="2516" customFormat="1" ht="15.75" thickBot="1">
      <c r="A24" s="2591" t="s">
        <v>2698</v>
      </c>
      <c r="B24" s="2592" t="s">
        <v>2699</v>
      </c>
      <c r="C24" s="963">
        <f>SUMIF(A46:A88,E2,B46:B88)</f>
        <v>0</v>
      </c>
      <c r="D24" s="2593"/>
      <c r="E24" s="2594"/>
      <c r="F24" s="2594"/>
      <c r="G24" s="2594"/>
      <c r="H24" s="2594"/>
      <c r="I24" s="2594"/>
      <c r="J24" s="2595"/>
      <c r="K24" s="2564"/>
      <c r="N24" s="2596" t="s">
        <v>2700</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4"/>
      <c r="AF24" s="2564"/>
    </row>
    <row r="25" spans="1:37" ht="15" thickBot="1">
      <c r="A25" s="2572" t="s">
        <v>2701</v>
      </c>
      <c r="B25" s="2597" t="s">
        <v>2702</v>
      </c>
      <c r="C25" s="954"/>
      <c r="D25" s="2527"/>
      <c r="E25" s="2527"/>
      <c r="F25" s="2598"/>
      <c r="G25" s="2527"/>
      <c r="H25" s="2527"/>
      <c r="I25" s="2527"/>
      <c r="J25" s="2528"/>
      <c r="L25" s="1457"/>
      <c r="M25" s="1457"/>
      <c r="N25" s="2599" t="s">
        <v>2703</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600"/>
      <c r="B26" s="2585" t="s">
        <v>2704</v>
      </c>
      <c r="C26" s="123" t="e">
        <f>E29+SUM(E33:E39)</f>
        <v>#DIV/0!</v>
      </c>
      <c r="D26" s="2601"/>
      <c r="E26" s="2553"/>
      <c r="F26" s="2602"/>
      <c r="G26" s="2553"/>
      <c r="H26" s="2553"/>
      <c r="I26" s="2553"/>
      <c r="J26" s="2603"/>
      <c r="L26" s="2557" t="s">
        <v>2663</v>
      </c>
      <c r="M26" s="943" t="s">
        <v>2664</v>
      </c>
      <c r="N26" s="943" t="s">
        <v>2665</v>
      </c>
      <c r="O26" s="943" t="s">
        <v>2666</v>
      </c>
      <c r="P26" s="2558" t="s">
        <v>2667</v>
      </c>
      <c r="Q26" s="1457"/>
      <c r="R26" s="1457"/>
      <c r="S26" s="1457"/>
      <c r="T26" s="1457"/>
      <c r="U26" s="1457"/>
      <c r="V26" s="1457"/>
      <c r="W26" s="1457"/>
      <c r="X26" s="1457"/>
      <c r="Y26" s="1457"/>
      <c r="Z26" s="1457"/>
      <c r="AA26" s="1457"/>
      <c r="AB26" s="1457"/>
      <c r="AC26" s="1457"/>
      <c r="AD26" s="1457"/>
      <c r="AE26" s="1458"/>
      <c r="AF26" s="1458"/>
    </row>
    <row r="27" spans="1:37" ht="15.75" thickBot="1">
      <c r="A27" s="2600"/>
      <c r="B27" s="2604" t="s">
        <v>2705</v>
      </c>
      <c r="C27" s="955" t="e">
        <f>E30+SUM(I33:I39)</f>
        <v>#DIV/0!</v>
      </c>
      <c r="D27" s="2605"/>
      <c r="E27" s="2606"/>
      <c r="F27" s="2607"/>
      <c r="G27" s="2606"/>
      <c r="H27" s="2606"/>
      <c r="I27" s="2606"/>
      <c r="J27" s="2608"/>
      <c r="L27" s="1455" t="s">
        <v>2670</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2"/>
      <c r="B28" s="2609" t="s">
        <v>2706</v>
      </c>
      <c r="C28" s="2610" t="s">
        <v>2707</v>
      </c>
      <c r="D28" s="2610" t="s">
        <v>2708</v>
      </c>
      <c r="E28" s="2611" t="s">
        <v>2709</v>
      </c>
      <c r="F28" s="2612"/>
      <c r="G28" s="2540"/>
      <c r="H28" s="2540"/>
      <c r="I28" s="2540"/>
      <c r="J28" s="2541"/>
      <c r="L28" s="1459" t="s">
        <v>2673</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3"/>
      <c r="B29" s="2614" t="s">
        <v>2710</v>
      </c>
      <c r="C29" s="123" t="e">
        <f>ROUND(C5*C18*C19*C20*C21*C24,0)</f>
        <v>#DIV/0!</v>
      </c>
      <c r="D29" s="2615"/>
      <c r="E29" s="967" t="e">
        <f>ROUND(C29*D29,0)</f>
        <v>#DIV/0!</v>
      </c>
      <c r="F29" s="2616" t="s">
        <v>2711</v>
      </c>
      <c r="G29" s="2617"/>
      <c r="H29" s="2617"/>
      <c r="I29" s="2617"/>
      <c r="J29" s="2618"/>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8"/>
      <c r="AH29" s="2498"/>
      <c r="AI29" s="2498"/>
      <c r="AJ29" s="2498"/>
    </row>
    <row r="30" spans="1:37" ht="25.5" thickBot="1">
      <c r="A30" s="2619"/>
      <c r="B30" s="2620" t="s">
        <v>2712</v>
      </c>
      <c r="C30" s="150" t="e">
        <f>ROUND(IF(E2="工业",C29*M39,C29*M38),0)</f>
        <v>#DIV/0!</v>
      </c>
      <c r="D30" s="2621"/>
      <c r="E30" s="967" t="e">
        <f>ROUND(C30*D30,0)</f>
        <v>#DIV/0!</v>
      </c>
      <c r="F30" s="2622" t="s">
        <v>2713</v>
      </c>
      <c r="G30" s="2623"/>
      <c r="H30" s="2623"/>
      <c r="I30" s="2623"/>
      <c r="J30" s="2624"/>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8"/>
      <c r="AH30" s="2498"/>
      <c r="AI30" s="2498"/>
      <c r="AJ30" s="2498"/>
    </row>
    <row r="31" spans="1:37">
      <c r="A31" s="2625"/>
      <c r="B31" s="2626" t="s">
        <v>2714</v>
      </c>
      <c r="C31" s="2627" t="s">
        <v>2715</v>
      </c>
      <c r="D31" s="2540"/>
      <c r="E31" s="2627"/>
      <c r="F31" s="2627"/>
      <c r="G31" s="2538" t="s">
        <v>2716</v>
      </c>
      <c r="H31" s="2540"/>
      <c r="I31" s="2628"/>
      <c r="J31" s="2541"/>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8"/>
      <c r="AH31" s="2498"/>
      <c r="AI31" s="2498"/>
      <c r="AJ31" s="2498"/>
    </row>
    <row r="32" spans="1:37" ht="24">
      <c r="A32" s="2613"/>
      <c r="B32" s="2629"/>
      <c r="C32" s="482" t="s">
        <v>2707</v>
      </c>
      <c r="D32" s="479" t="s">
        <v>2708</v>
      </c>
      <c r="E32" s="479" t="s">
        <v>2709</v>
      </c>
      <c r="F32" s="367" t="s">
        <v>2717</v>
      </c>
      <c r="G32" s="953" t="s">
        <v>2707</v>
      </c>
      <c r="H32" s="953" t="s">
        <v>2708</v>
      </c>
      <c r="I32" s="953" t="s">
        <v>2709</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8"/>
      <c r="AH32" s="2498"/>
      <c r="AI32" s="2498"/>
      <c r="AJ32" s="2498"/>
    </row>
    <row r="33" spans="1:37">
      <c r="A33" s="3114" t="s">
        <v>2718</v>
      </c>
      <c r="B33" s="2630" t="s">
        <v>2719</v>
      </c>
      <c r="C33" s="123" t="e">
        <f>ROUND(D5*C19*C20*C24*F33,0)</f>
        <v>#DIV/0!</v>
      </c>
      <c r="D33" s="2615"/>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1"/>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15"/>
      <c r="B34" s="2544" t="s">
        <v>2720</v>
      </c>
      <c r="C34" s="123" t="e">
        <f>ROUND(D5*C19*C20*C24*F34,0)</f>
        <v>#DIV/0!</v>
      </c>
      <c r="D34" s="2615"/>
      <c r="E34" s="117" t="e">
        <f t="shared" si="6"/>
        <v>#DIV/0!</v>
      </c>
      <c r="F34" s="117">
        <f>SUMIF(修正!A45:A56,G2,修正!C45:C56)</f>
        <v>0.5</v>
      </c>
      <c r="G34" s="117" t="e">
        <f>ROUND(IF(E2="工业",C34*$M$39,C34*$M$38),0)</f>
        <v>#DIV/0!</v>
      </c>
      <c r="H34" s="117">
        <f t="shared" ref="H34:H39" si="9">D34</f>
        <v>0</v>
      </c>
      <c r="I34" s="117" t="e">
        <f t="shared" si="8"/>
        <v>#DIV/0!</v>
      </c>
      <c r="J34" s="2631"/>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15"/>
      <c r="B35" s="2544" t="s">
        <v>2721</v>
      </c>
      <c r="C35" s="123" t="e">
        <f>ROUND(D5*C19*C20*C24*F35,0)</f>
        <v>#DIV/0!</v>
      </c>
      <c r="D35" s="2615"/>
      <c r="E35" s="117" t="e">
        <f t="shared" si="6"/>
        <v>#DIV/0!</v>
      </c>
      <c r="F35" s="117">
        <f>SUMIF(修正!A45:A56,G2,修正!D45:D56)</f>
        <v>0.36</v>
      </c>
      <c r="G35" s="117" t="e">
        <f>ROUND(IF(E2="工业",C35*$M$39,C35*$M$38),0)</f>
        <v>#DIV/0!</v>
      </c>
      <c r="H35" s="117">
        <f t="shared" si="9"/>
        <v>0</v>
      </c>
      <c r="I35" s="117" t="e">
        <f t="shared" si="8"/>
        <v>#DIV/0!</v>
      </c>
      <c r="J35" s="2631"/>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16"/>
      <c r="B36" s="2544" t="s">
        <v>2722</v>
      </c>
      <c r="C36" s="123" t="e">
        <f>ROUND(D5*C19*C20*C24*F36,0)</f>
        <v>#DIV/0!</v>
      </c>
      <c r="D36" s="2615"/>
      <c r="E36" s="117" t="e">
        <f t="shared" si="6"/>
        <v>#DIV/0!</v>
      </c>
      <c r="F36" s="117">
        <f>SUMIF(修正!A45:A56,G2,修正!E45:E56)</f>
        <v>0.3</v>
      </c>
      <c r="G36" s="117" t="e">
        <f>ROUND(IF(E2="工业",C36*$M$39,C36*$M$38),0)</f>
        <v>#DIV/0!</v>
      </c>
      <c r="H36" s="117">
        <f t="shared" si="9"/>
        <v>0</v>
      </c>
      <c r="I36" s="117" t="e">
        <f t="shared" si="8"/>
        <v>#DIV/0!</v>
      </c>
      <c r="J36" s="2631"/>
      <c r="L36" s="2632"/>
      <c r="M36" s="2632"/>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3"/>
      <c r="B37" s="2544" t="s">
        <v>2723</v>
      </c>
      <c r="C37" s="117" t="e">
        <f>ROUND(D5*C19*C20*C24*F37,0)</f>
        <v>#DIV/0!</v>
      </c>
      <c r="D37" s="2615"/>
      <c r="E37" s="117" t="e">
        <f t="shared" si="6"/>
        <v>#DIV/0!</v>
      </c>
      <c r="F37" s="123">
        <f>SUMIF(修正!A45:A56,G2,修正!F45:F56)</f>
        <v>0.3</v>
      </c>
      <c r="G37" s="117" t="e">
        <f>ROUND(IF(E2="工业",C37*$M$39,C37*$M$38),0)</f>
        <v>#DIV/0!</v>
      </c>
      <c r="H37" s="117">
        <f t="shared" si="9"/>
        <v>0</v>
      </c>
      <c r="I37" s="117" t="e">
        <f t="shared" si="8"/>
        <v>#DIV/0!</v>
      </c>
      <c r="J37" s="2631"/>
      <c r="L37" s="2634" t="s">
        <v>2724</v>
      </c>
      <c r="M37" s="2528"/>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3"/>
      <c r="B38" s="2544" t="s">
        <v>2725</v>
      </c>
      <c r="C38" s="117" t="e">
        <f>ROUND(D5*C19*C41*C24*F38,0)</f>
        <v>#DIV/0!</v>
      </c>
      <c r="D38" s="2615"/>
      <c r="E38" s="117" t="e">
        <f t="shared" si="6"/>
        <v>#DIV/0!</v>
      </c>
      <c r="F38" s="123">
        <f>SUMIF(修正!A45:A56,G2,修正!G45:G56)</f>
        <v>0.3</v>
      </c>
      <c r="G38" s="117" t="e">
        <f>ROUND(IF(E2="工业",C38*$M$39,C38*$M$38),0)</f>
        <v>#DIV/0!</v>
      </c>
      <c r="H38" s="117">
        <f t="shared" si="9"/>
        <v>0</v>
      </c>
      <c r="I38" s="117" t="e">
        <f t="shared" si="8"/>
        <v>#DIV/0!</v>
      </c>
      <c r="J38" s="2631"/>
      <c r="L38" s="2635" t="s">
        <v>2726</v>
      </c>
      <c r="M38" s="2636">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19"/>
      <c r="B39" s="2637" t="s">
        <v>2727</v>
      </c>
      <c r="C39" s="150" t="e">
        <f>ROUND(D5*C19*C41*C24*F39,0)</f>
        <v>#DIV/0!</v>
      </c>
      <c r="D39" s="2621"/>
      <c r="E39" s="150" t="e">
        <f t="shared" si="6"/>
        <v>#DIV/0!</v>
      </c>
      <c r="F39" s="956">
        <f>SUMIF(修正!A45:A56,G2,修正!H45:H56)</f>
        <v>0.25</v>
      </c>
      <c r="G39" s="150" t="e">
        <f>ROUND(IF(E2="工业",C39*$M$39,C39*$M$38),0)</f>
        <v>#DIV/0!</v>
      </c>
      <c r="H39" s="150">
        <f t="shared" si="9"/>
        <v>0</v>
      </c>
      <c r="I39" s="150" t="e">
        <f t="shared" si="8"/>
        <v>#DIV/0!</v>
      </c>
      <c r="J39" s="2638"/>
      <c r="L39" s="2639" t="s">
        <v>2667</v>
      </c>
      <c r="M39" s="2640">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2"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1"/>
      <c r="AH40" s="2641"/>
      <c r="AI40" s="2641"/>
      <c r="AJ40" s="2641"/>
    </row>
    <row r="41" spans="1:37" s="2642" customFormat="1">
      <c r="A41" s="1458"/>
      <c r="B41" s="2713" t="s">
        <v>2809</v>
      </c>
      <c r="C41" s="367" t="e">
        <f>ROUND(POWER(1+E41,H41-G41)*(POWER(1+E41,G41)-1)/(POWER(1+E41,H41)-1),4)</f>
        <v>#DIV/0!</v>
      </c>
      <c r="D41" s="117" t="s">
        <v>2807</v>
      </c>
      <c r="E41" s="826">
        <f>G20</f>
        <v>0</v>
      </c>
      <c r="F41" s="117" t="s">
        <v>2808</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1"/>
      <c r="AH41" s="2641"/>
      <c r="AI41" s="2641"/>
      <c r="AJ41" s="2641"/>
    </row>
    <row r="42" spans="1:37" s="2642" customFormat="1">
      <c r="A42" s="1458"/>
      <c r="B42" s="2643"/>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1"/>
      <c r="AH42" s="2641"/>
      <c r="AI42" s="2641"/>
      <c r="AJ42" s="2641"/>
    </row>
    <row r="43" spans="1:37" s="2642" customFormat="1">
      <c r="A43" s="1458"/>
      <c r="B43" s="2643"/>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1"/>
      <c r="AH43" s="2641"/>
      <c r="AI43" s="2641"/>
      <c r="AJ43" s="2641"/>
    </row>
    <row r="44" spans="1:37" s="2642" customFormat="1">
      <c r="A44" s="1458"/>
      <c r="B44" s="2643"/>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1"/>
      <c r="AH44" s="2641"/>
      <c r="AI44" s="2641"/>
      <c r="AJ44" s="2641"/>
    </row>
    <row r="45" spans="1:37" s="2642" customFormat="1" ht="15.75" thickBot="1">
      <c r="A45" s="2644" t="s">
        <v>2728</v>
      </c>
      <c r="B45" s="2645"/>
      <c r="C45" s="9"/>
      <c r="D45" s="9"/>
      <c r="E45" s="9"/>
      <c r="F45" s="7"/>
      <c r="G45" s="9"/>
      <c r="H45" s="7"/>
      <c r="I45" s="9"/>
      <c r="J45" s="9"/>
      <c r="K45" s="9"/>
      <c r="L45" s="9"/>
      <c r="M45" s="9"/>
      <c r="N45" s="2496"/>
      <c r="O45" s="1457"/>
      <c r="P45" s="1457"/>
      <c r="Q45" s="1457"/>
      <c r="R45" s="1457"/>
      <c r="S45" s="1457"/>
      <c r="T45" s="1457"/>
      <c r="U45" s="1457"/>
      <c r="V45" s="1457"/>
      <c r="W45" s="1457"/>
      <c r="X45" s="1457"/>
      <c r="Y45" s="1457"/>
      <c r="Z45" s="1458"/>
      <c r="AA45" s="1458"/>
      <c r="AB45" s="1458"/>
      <c r="AC45" s="1458"/>
      <c r="AD45" s="1458"/>
      <c r="AE45" s="1458"/>
      <c r="AF45" s="1458"/>
      <c r="AG45" s="2641"/>
      <c r="AH45" s="2641"/>
      <c r="AI45" s="2641"/>
      <c r="AJ45" s="2641"/>
    </row>
    <row r="46" spans="1:37" s="2642" customFormat="1" ht="15">
      <c r="A46" s="2646" t="s">
        <v>2729</v>
      </c>
      <c r="B46" s="2647">
        <f>1+E48</f>
        <v>1</v>
      </c>
      <c r="C46" s="2648"/>
      <c r="D46" s="816"/>
      <c r="E46" s="817"/>
      <c r="F46" s="2649"/>
      <c r="G46" s="7"/>
      <c r="H46" s="9"/>
      <c r="I46" s="9"/>
      <c r="J46" s="9"/>
      <c r="K46" s="9"/>
      <c r="L46" s="9"/>
      <c r="M46" s="2496"/>
      <c r="N46" s="2650"/>
      <c r="O46" s="1457"/>
      <c r="P46" s="1457"/>
      <c r="Q46" s="1457"/>
      <c r="R46" s="1457"/>
      <c r="S46" s="1457"/>
      <c r="T46" s="1457"/>
      <c r="U46" s="1457"/>
      <c r="V46" s="1457"/>
      <c r="W46" s="1457"/>
      <c r="X46" s="1457"/>
      <c r="Y46" s="1458"/>
      <c r="Z46" s="1458"/>
      <c r="AA46" s="1458"/>
      <c r="AB46" s="1458"/>
      <c r="AC46" s="1458"/>
      <c r="AD46" s="1458"/>
      <c r="AE46" s="1458"/>
      <c r="AF46" s="2641"/>
      <c r="AG46" s="2641"/>
      <c r="AH46" s="2641"/>
      <c r="AI46" s="2641"/>
    </row>
    <row r="47" spans="1:37" s="2642" customFormat="1" ht="24.75">
      <c r="A47" s="2651" t="s">
        <v>2730</v>
      </c>
      <c r="B47" s="822" t="s">
        <v>2731</v>
      </c>
      <c r="C47" s="822" t="s">
        <v>2732</v>
      </c>
      <c r="D47" s="822" t="s">
        <v>2733</v>
      </c>
      <c r="E47" s="823" t="s">
        <v>2734</v>
      </c>
      <c r="F47" s="2652" t="s">
        <v>2735</v>
      </c>
      <c r="G47" s="822" t="s">
        <v>2736</v>
      </c>
      <c r="H47" s="2653" t="s">
        <v>2737</v>
      </c>
      <c r="I47" s="822" t="s">
        <v>2738</v>
      </c>
      <c r="J47" s="587" t="s">
        <v>2739</v>
      </c>
      <c r="K47" s="587" t="s">
        <v>2740</v>
      </c>
      <c r="L47" s="587" t="s">
        <v>2741</v>
      </c>
      <c r="M47" s="587" t="s">
        <v>2742</v>
      </c>
      <c r="N47" s="587" t="s">
        <v>2743</v>
      </c>
      <c r="O47" s="1457"/>
      <c r="P47" s="1457"/>
      <c r="Q47" s="1457"/>
      <c r="R47" s="1457"/>
      <c r="S47" s="1457"/>
      <c r="T47" s="1457"/>
      <c r="U47" s="1457"/>
      <c r="V47" s="1457"/>
      <c r="W47" s="1457"/>
      <c r="X47" s="1457"/>
      <c r="Y47" s="1457"/>
      <c r="Z47" s="1457"/>
      <c r="AA47" s="1458"/>
      <c r="AB47" s="1458"/>
      <c r="AC47" s="1458"/>
      <c r="AD47" s="1458"/>
      <c r="AE47" s="1458"/>
      <c r="AF47" s="1458"/>
      <c r="AG47" s="1458"/>
      <c r="AH47" s="2641"/>
      <c r="AI47" s="2641"/>
      <c r="AJ47" s="2641"/>
      <c r="AK47" s="2641"/>
    </row>
    <row r="48" spans="1:37" s="2642" customFormat="1" ht="24.75">
      <c r="A48" s="2651" t="s">
        <v>2744</v>
      </c>
      <c r="B48" s="2654">
        <f>估价对象房地状况!C16</f>
        <v>0</v>
      </c>
      <c r="C48" s="2550"/>
      <c r="D48" s="1371">
        <f t="shared" ref="D48:D56" si="10">SUMIF($J$47:$N$47,C48,J48:N48)</f>
        <v>0</v>
      </c>
      <c r="E48" s="828">
        <f>ROUND(SUM(D48:D56),4)</f>
        <v>0</v>
      </c>
      <c r="F48" s="2268"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1"/>
      <c r="AI48" s="2641"/>
      <c r="AJ48" s="2641"/>
      <c r="AK48" s="2641"/>
    </row>
    <row r="49" spans="1:37" s="2642" customFormat="1" ht="89.25">
      <c r="A49" s="2651" t="s">
        <v>2745</v>
      </c>
      <c r="B49" s="2655" t="str">
        <f>估价对象房地状况!C18</f>
        <v>估价对象周边道路状况较好、公共交通通达情况较好、有534、539、611、614路等多路公交车及地铁10号线经过、停车便捷程度一般，综合评价交通便捷度较好</v>
      </c>
      <c r="C49" s="2550"/>
      <c r="D49" s="1371">
        <f t="shared" si="10"/>
        <v>0</v>
      </c>
      <c r="E49" s="831"/>
      <c r="F49" s="2268"/>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1"/>
      <c r="AI49" s="2641"/>
      <c r="AJ49" s="2641"/>
      <c r="AK49" s="2641"/>
    </row>
    <row r="50" spans="1:37" s="2642" customFormat="1" ht="24">
      <c r="A50" s="2651" t="s">
        <v>2746</v>
      </c>
      <c r="B50" s="2655">
        <f>估价对象房地状况!C19</f>
        <v>0</v>
      </c>
      <c r="C50" s="2550"/>
      <c r="D50" s="1371">
        <f t="shared" si="10"/>
        <v>0</v>
      </c>
      <c r="E50" s="831"/>
      <c r="F50" s="2268"/>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1"/>
      <c r="AI50" s="2641"/>
      <c r="AJ50" s="2641"/>
      <c r="AK50" s="2641"/>
    </row>
    <row r="51" spans="1:37" s="2642" customFormat="1" ht="36.75">
      <c r="A51" s="2651" t="s">
        <v>2747</v>
      </c>
      <c r="B51" s="2656" t="s">
        <v>2748</v>
      </c>
      <c r="C51" s="2550"/>
      <c r="D51" s="1371">
        <f t="shared" si="10"/>
        <v>0</v>
      </c>
      <c r="E51" s="831"/>
      <c r="F51" s="2268"/>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1"/>
      <c r="AI51" s="2641"/>
      <c r="AJ51" s="2641"/>
      <c r="AK51" s="2641"/>
    </row>
    <row r="52" spans="1:37" s="2642" customFormat="1" ht="24">
      <c r="A52" s="2651" t="s">
        <v>2749</v>
      </c>
      <c r="B52" s="2655" t="str">
        <f>估价对象房地状况!C24</f>
        <v>城市快速路-北三环西路</v>
      </c>
      <c r="C52" s="2550"/>
      <c r="D52" s="1371">
        <f t="shared" si="10"/>
        <v>0</v>
      </c>
      <c r="E52" s="831"/>
      <c r="F52" s="2268"/>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1"/>
      <c r="AI52" s="2641"/>
      <c r="AJ52" s="2641"/>
      <c r="AK52" s="2641"/>
    </row>
    <row r="53" spans="1:37" s="2642" customFormat="1" ht="24">
      <c r="A53" s="2651" t="s">
        <v>2750</v>
      </c>
      <c r="B53" s="2657" t="s">
        <v>2751</v>
      </c>
      <c r="C53" s="2550"/>
      <c r="D53" s="1371">
        <f t="shared" si="10"/>
        <v>0</v>
      </c>
      <c r="E53" s="831"/>
      <c r="F53" s="2268"/>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1"/>
      <c r="AI53" s="2641"/>
      <c r="AJ53" s="2641"/>
      <c r="AK53" s="2641"/>
    </row>
    <row r="54" spans="1:37" s="2642" customFormat="1" ht="25.5">
      <c r="A54" s="2658" t="s">
        <v>2752</v>
      </c>
      <c r="B54" s="2659" t="str">
        <f>估价对象房地状况!C21</f>
        <v>估价对象所在区域公共配套设施齐备情况齐全</v>
      </c>
      <c r="C54" s="2550"/>
      <c r="D54" s="1371">
        <f t="shared" si="10"/>
        <v>0</v>
      </c>
      <c r="E54" s="831"/>
      <c r="F54" s="2268"/>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1"/>
      <c r="AI54" s="2641"/>
      <c r="AJ54" s="2641"/>
      <c r="AK54" s="2641"/>
    </row>
    <row r="55" spans="1:37" s="2642" customFormat="1" ht="25.5">
      <c r="A55" s="2658" t="s">
        <v>2753</v>
      </c>
      <c r="B55" s="2655" t="str">
        <f>估价对象房地状况!C22</f>
        <v>估价对象所在区域基础设施水平高</v>
      </c>
      <c r="C55" s="2550"/>
      <c r="D55" s="1371">
        <f t="shared" si="10"/>
        <v>0</v>
      </c>
      <c r="E55" s="831"/>
      <c r="F55" s="2268"/>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1"/>
      <c r="AI55" s="2641"/>
      <c r="AJ55" s="2641"/>
      <c r="AK55" s="2641"/>
    </row>
    <row r="56" spans="1:37" s="2642" customFormat="1" ht="51.75" thickBot="1">
      <c r="A56" s="2660" t="s">
        <v>2754</v>
      </c>
      <c r="B56" s="2661" t="str">
        <f>估价对象房地状况!C20</f>
        <v>区域自然环境：巴沟山水园；人文环境：北京人民大学；综合评价环境状况较好</v>
      </c>
      <c r="C56" s="2550"/>
      <c r="D56" s="1371">
        <f t="shared" si="10"/>
        <v>0</v>
      </c>
      <c r="E56" s="837"/>
      <c r="F56" s="2268"/>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1"/>
      <c r="AI56" s="2641"/>
      <c r="AJ56" s="2641"/>
      <c r="AK56" s="2641"/>
    </row>
    <row r="57" spans="1:37" s="2642" customFormat="1" ht="15">
      <c r="A57" s="2646" t="s">
        <v>2755</v>
      </c>
      <c r="B57" s="2662">
        <f>1+E59</f>
        <v>1</v>
      </c>
      <c r="C57" s="816"/>
      <c r="D57" s="816"/>
      <c r="E57" s="817"/>
      <c r="F57" s="2649"/>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1"/>
      <c r="AI57" s="2641"/>
      <c r="AJ57" s="2641"/>
      <c r="AK57" s="2641"/>
    </row>
    <row r="58" spans="1:37" s="2642" customFormat="1" ht="24.75">
      <c r="A58" s="2651" t="s">
        <v>2730</v>
      </c>
      <c r="B58" s="2655"/>
      <c r="C58" s="822" t="s">
        <v>2732</v>
      </c>
      <c r="D58" s="822" t="s">
        <v>2733</v>
      </c>
      <c r="E58" s="823" t="s">
        <v>2734</v>
      </c>
      <c r="F58" s="2652" t="s">
        <v>2735</v>
      </c>
      <c r="G58" s="822" t="s">
        <v>2756</v>
      </c>
      <c r="H58" s="2653" t="s">
        <v>2757</v>
      </c>
      <c r="I58" s="822" t="s">
        <v>2758</v>
      </c>
      <c r="J58" s="587" t="s">
        <v>2392</v>
      </c>
      <c r="K58" s="587" t="s">
        <v>2393</v>
      </c>
      <c r="L58" s="587" t="s">
        <v>2394</v>
      </c>
      <c r="M58" s="587" t="s">
        <v>2395</v>
      </c>
      <c r="N58" s="587" t="s">
        <v>2396</v>
      </c>
      <c r="O58" s="1457"/>
      <c r="P58" s="1457"/>
      <c r="Q58" s="1457"/>
      <c r="R58" s="1457"/>
      <c r="S58" s="1457"/>
      <c r="T58" s="1457"/>
      <c r="U58" s="1457"/>
      <c r="V58" s="1457"/>
      <c r="W58" s="1457"/>
      <c r="X58" s="1457"/>
      <c r="Y58" s="1457"/>
      <c r="Z58" s="1457"/>
      <c r="AA58" s="1458"/>
      <c r="AB58" s="1458"/>
      <c r="AC58" s="1458"/>
      <c r="AD58" s="1458"/>
      <c r="AE58" s="1458"/>
      <c r="AF58" s="1458"/>
      <c r="AG58" s="1458"/>
      <c r="AH58" s="2641"/>
      <c r="AI58" s="2641"/>
      <c r="AJ58" s="2641"/>
      <c r="AK58" s="2641"/>
    </row>
    <row r="59" spans="1:37" s="2642" customFormat="1" ht="24">
      <c r="A59" s="2651" t="s">
        <v>2759</v>
      </c>
      <c r="B59" s="2654">
        <f>估价对象房地状况!C17</f>
        <v>0</v>
      </c>
      <c r="C59" s="2550"/>
      <c r="D59" s="1371">
        <f t="shared" ref="D59:D67" si="15">SUMIF($J$58:$N$58,C59,J59:N59)</f>
        <v>0</v>
      </c>
      <c r="E59" s="828">
        <f>ROUND(SUM(D59:D67),4)</f>
        <v>0</v>
      </c>
      <c r="F59" s="2268"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1"/>
      <c r="AI59" s="2641"/>
      <c r="AJ59" s="2641"/>
      <c r="AK59" s="2641"/>
    </row>
    <row r="60" spans="1:37" s="2642" customFormat="1" ht="89.25">
      <c r="A60" s="2651" t="s">
        <v>2745</v>
      </c>
      <c r="B60" s="2655" t="str">
        <f>估价对象房地状况!C18</f>
        <v>估价对象周边道路状况较好、公共交通通达情况较好、有534、539、611、614路等多路公交车及地铁10号线经过、停车便捷程度一般，综合评价交通便捷度较好</v>
      </c>
      <c r="C60" s="2550"/>
      <c r="D60" s="1371">
        <f t="shared" si="15"/>
        <v>0</v>
      </c>
      <c r="E60" s="831"/>
      <c r="F60" s="2268"/>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1"/>
      <c r="AI60" s="2641"/>
      <c r="AJ60" s="2641"/>
      <c r="AK60" s="2641"/>
    </row>
    <row r="61" spans="1:37" s="2642" customFormat="1" ht="24">
      <c r="A61" s="2651" t="s">
        <v>2746</v>
      </c>
      <c r="B61" s="2655">
        <f>估价对象房地状况!C19</f>
        <v>0</v>
      </c>
      <c r="C61" s="2550"/>
      <c r="D61" s="1371">
        <f t="shared" si="15"/>
        <v>0</v>
      </c>
      <c r="E61" s="831"/>
      <c r="F61" s="2268"/>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1"/>
      <c r="AI61" s="2641"/>
      <c r="AJ61" s="2641"/>
      <c r="AK61" s="2641"/>
    </row>
    <row r="62" spans="1:37" s="2642" customFormat="1" ht="36.75">
      <c r="A62" s="2651" t="s">
        <v>2747</v>
      </c>
      <c r="B62" s="2656" t="s">
        <v>2748</v>
      </c>
      <c r="C62" s="2550"/>
      <c r="D62" s="1371">
        <f t="shared" si="15"/>
        <v>0</v>
      </c>
      <c r="E62" s="831"/>
      <c r="F62" s="2268"/>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1"/>
      <c r="AI62" s="2641"/>
      <c r="AJ62" s="2641"/>
      <c r="AK62" s="2641"/>
    </row>
    <row r="63" spans="1:37" s="2642" customFormat="1" ht="24">
      <c r="A63" s="2651" t="s">
        <v>2749</v>
      </c>
      <c r="B63" s="2655" t="str">
        <f>估价对象房地状况!C24</f>
        <v>城市快速路-北三环西路</v>
      </c>
      <c r="C63" s="2550"/>
      <c r="D63" s="1371">
        <f t="shared" si="15"/>
        <v>0</v>
      </c>
      <c r="E63" s="831"/>
      <c r="F63" s="2268"/>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1"/>
      <c r="AI63" s="2641"/>
      <c r="AJ63" s="2641"/>
      <c r="AK63" s="2641"/>
    </row>
    <row r="64" spans="1:37" s="2642" customFormat="1" ht="24">
      <c r="A64" s="2651" t="s">
        <v>2750</v>
      </c>
      <c r="B64" s="2657" t="s">
        <v>2751</v>
      </c>
      <c r="C64" s="2550"/>
      <c r="D64" s="1371">
        <f t="shared" si="15"/>
        <v>0</v>
      </c>
      <c r="E64" s="831"/>
      <c r="F64" s="2268"/>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1"/>
      <c r="AI64" s="2641"/>
      <c r="AJ64" s="2641"/>
      <c r="AK64" s="2641"/>
    </row>
    <row r="65" spans="1:37" s="2642" customFormat="1" ht="25.5">
      <c r="A65" s="2651" t="s">
        <v>2752</v>
      </c>
      <c r="B65" s="2659" t="str">
        <f>估价对象房地状况!C21</f>
        <v>估价对象所在区域公共配套设施齐备情况齐全</v>
      </c>
      <c r="C65" s="2550"/>
      <c r="D65" s="1371">
        <f t="shared" si="15"/>
        <v>0</v>
      </c>
      <c r="E65" s="831"/>
      <c r="F65" s="2268"/>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1"/>
      <c r="AI65" s="2641"/>
      <c r="AJ65" s="2641"/>
      <c r="AK65" s="2641"/>
    </row>
    <row r="66" spans="1:37" s="2642" customFormat="1" ht="25.5">
      <c r="A66" s="2651" t="s">
        <v>2753</v>
      </c>
      <c r="B66" s="2659" t="str">
        <f>估价对象房地状况!C22</f>
        <v>估价对象所在区域基础设施水平高</v>
      </c>
      <c r="C66" s="2550"/>
      <c r="D66" s="1371">
        <f t="shared" si="15"/>
        <v>0</v>
      </c>
      <c r="E66" s="831"/>
      <c r="F66" s="2268"/>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1"/>
      <c r="AI66" s="2641"/>
      <c r="AJ66" s="2641"/>
      <c r="AK66" s="2641"/>
    </row>
    <row r="67" spans="1:37" s="2642" customFormat="1" ht="51.75" thickBot="1">
      <c r="A67" s="2660" t="s">
        <v>2754</v>
      </c>
      <c r="B67" s="2663" t="str">
        <f>估价对象房地状况!C20</f>
        <v>区域自然环境：巴沟山水园；人文环境：北京人民大学；综合评价环境状况较好</v>
      </c>
      <c r="C67" s="2550"/>
      <c r="D67" s="1371">
        <f t="shared" si="15"/>
        <v>0</v>
      </c>
      <c r="E67" s="837"/>
      <c r="F67" s="2268"/>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1"/>
      <c r="AI67" s="2641"/>
      <c r="AJ67" s="2641"/>
      <c r="AK67" s="2641"/>
    </row>
    <row r="68" spans="1:37" s="2642" customFormat="1" ht="15">
      <c r="A68" s="2646" t="s">
        <v>2760</v>
      </c>
      <c r="B68" s="2662">
        <f>1+E70</f>
        <v>1</v>
      </c>
      <c r="C68" s="816"/>
      <c r="D68" s="816"/>
      <c r="E68" s="817"/>
      <c r="F68" s="2649"/>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1"/>
      <c r="AI68" s="2641"/>
      <c r="AJ68" s="2641"/>
      <c r="AK68" s="2641"/>
    </row>
    <row r="69" spans="1:37" s="2642" customFormat="1" ht="24.75">
      <c r="A69" s="2651" t="s">
        <v>2730</v>
      </c>
      <c r="B69" s="2655"/>
      <c r="C69" s="822" t="s">
        <v>2732</v>
      </c>
      <c r="D69" s="822" t="s">
        <v>2733</v>
      </c>
      <c r="E69" s="823" t="s">
        <v>2734</v>
      </c>
      <c r="F69" s="2652" t="s">
        <v>2735</v>
      </c>
      <c r="G69" s="822" t="s">
        <v>2756</v>
      </c>
      <c r="H69" s="2653" t="s">
        <v>2757</v>
      </c>
      <c r="I69" s="822" t="s">
        <v>2758</v>
      </c>
      <c r="J69" s="587" t="s">
        <v>2392</v>
      </c>
      <c r="K69" s="587" t="s">
        <v>2393</v>
      </c>
      <c r="L69" s="587" t="s">
        <v>2394</v>
      </c>
      <c r="M69" s="587" t="s">
        <v>2395</v>
      </c>
      <c r="N69" s="587" t="s">
        <v>2396</v>
      </c>
      <c r="O69" s="1457"/>
      <c r="P69" s="1457"/>
      <c r="Q69" s="1457"/>
      <c r="R69" s="1457"/>
      <c r="S69" s="1457"/>
      <c r="T69" s="1457"/>
      <c r="U69" s="1457"/>
      <c r="V69" s="1457"/>
      <c r="W69" s="1457"/>
      <c r="X69" s="1457"/>
      <c r="Y69" s="1457"/>
      <c r="Z69" s="1457"/>
      <c r="AA69" s="1458"/>
      <c r="AB69" s="1458"/>
      <c r="AC69" s="1458"/>
      <c r="AD69" s="1458"/>
      <c r="AE69" s="1458"/>
      <c r="AF69" s="1458"/>
      <c r="AG69" s="1458"/>
      <c r="AH69" s="2641"/>
      <c r="AI69" s="2641"/>
      <c r="AJ69" s="2641"/>
      <c r="AK69" s="2641"/>
    </row>
    <row r="70" spans="1:37" s="2642" customFormat="1" ht="76.5">
      <c r="A70" s="2651" t="s">
        <v>2761</v>
      </c>
      <c r="B70" s="2654" t="str">
        <f>估价对象房地状况!C15</f>
        <v>估价对象周边居住用地比例高、居住小区规模大和社区发展完善程度较好，有万柳华府、万柳光大等多个住宅小区，综合评价居住社区成熟度较好</v>
      </c>
      <c r="C70" s="2550"/>
      <c r="D70" s="1371">
        <f t="shared" ref="D70:D78" si="20">SUMIF($J$69:$N$69,C70,J70:N70)</f>
        <v>0</v>
      </c>
      <c r="E70" s="828">
        <f>ROUND(SUM(D70:D78),4)</f>
        <v>0</v>
      </c>
      <c r="F70" s="2268"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1"/>
      <c r="AI70" s="2641"/>
      <c r="AJ70" s="2641"/>
      <c r="AK70" s="2641"/>
    </row>
    <row r="71" spans="1:37" s="2642" customFormat="1" ht="89.25">
      <c r="A71" s="2651" t="s">
        <v>2745</v>
      </c>
      <c r="B71" s="2655" t="str">
        <f>估价对象房地状况!C18</f>
        <v>估价对象周边道路状况较好、公共交通通达情况较好、有534、539、611、614路等多路公交车及地铁10号线经过、停车便捷程度一般，综合评价交通便捷度较好</v>
      </c>
      <c r="C71" s="2550"/>
      <c r="D71" s="1371">
        <f t="shared" si="20"/>
        <v>0</v>
      </c>
      <c r="E71" s="839"/>
      <c r="F71" s="2664"/>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1"/>
      <c r="AI71" s="2641"/>
      <c r="AJ71" s="2641"/>
      <c r="AK71" s="2641"/>
    </row>
    <row r="72" spans="1:37" s="2642" customFormat="1" ht="24">
      <c r="A72" s="2651" t="s">
        <v>2746</v>
      </c>
      <c r="B72" s="2655">
        <f>估价对象房地状况!C19</f>
        <v>0</v>
      </c>
      <c r="C72" s="2550"/>
      <c r="D72" s="1371">
        <f t="shared" si="20"/>
        <v>0</v>
      </c>
      <c r="E72" s="839"/>
      <c r="F72" s="2664"/>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1"/>
      <c r="AI72" s="2641"/>
      <c r="AJ72" s="2641"/>
      <c r="AK72" s="2641"/>
    </row>
    <row r="73" spans="1:37" s="2642" customFormat="1" ht="14.25">
      <c r="A73" s="2651" t="s">
        <v>2762</v>
      </c>
      <c r="B73" s="2655" t="str">
        <f>估价对象房地状况!C24</f>
        <v>城市快速路-北三环西路</v>
      </c>
      <c r="C73" s="2550"/>
      <c r="D73" s="1371">
        <f t="shared" si="20"/>
        <v>0</v>
      </c>
      <c r="E73" s="839"/>
      <c r="F73" s="2664"/>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1"/>
      <c r="AI73" s="2641"/>
      <c r="AJ73" s="2641"/>
      <c r="AK73" s="2641"/>
    </row>
    <row r="74" spans="1:37" s="2642" customFormat="1" ht="25.5">
      <c r="A74" s="2651" t="s">
        <v>2752</v>
      </c>
      <c r="B74" s="2659" t="str">
        <f>估价对象房地状况!C21</f>
        <v>估价对象所在区域公共配套设施齐备情况齐全</v>
      </c>
      <c r="C74" s="2550"/>
      <c r="D74" s="1371">
        <f t="shared" si="20"/>
        <v>0</v>
      </c>
      <c r="E74" s="839"/>
      <c r="F74" s="2664"/>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1"/>
      <c r="AI74" s="2641"/>
      <c r="AJ74" s="2641"/>
      <c r="AK74" s="2641"/>
    </row>
    <row r="75" spans="1:37" s="2642" customFormat="1" ht="25.5">
      <c r="A75" s="2651" t="s">
        <v>2753</v>
      </c>
      <c r="B75" s="2659" t="str">
        <f>估价对象房地状况!C22</f>
        <v>估价对象所在区域基础设施水平高</v>
      </c>
      <c r="C75" s="2550"/>
      <c r="D75" s="1371">
        <f t="shared" si="20"/>
        <v>0</v>
      </c>
      <c r="E75" s="839"/>
      <c r="F75" s="2664"/>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1"/>
      <c r="AI75" s="2641"/>
      <c r="AJ75" s="2641"/>
      <c r="AK75" s="2641"/>
    </row>
    <row r="76" spans="1:37" ht="24">
      <c r="A76" s="2651" t="s">
        <v>2750</v>
      </c>
      <c r="B76" s="2657" t="s">
        <v>2751</v>
      </c>
      <c r="C76" s="2550"/>
      <c r="D76" s="1371">
        <f t="shared" si="20"/>
        <v>0</v>
      </c>
      <c r="E76" s="839"/>
      <c r="F76" s="2664"/>
      <c r="G76" s="1372"/>
      <c r="H76" s="1376" t="str">
        <f t="shared" si="21"/>
        <v>——</v>
      </c>
      <c r="I76" s="827">
        <v>0.05</v>
      </c>
      <c r="J76" s="1373">
        <f t="shared" si="22"/>
        <v>0</v>
      </c>
      <c r="K76" s="1373">
        <f t="shared" si="23"/>
        <v>0</v>
      </c>
      <c r="L76" s="1373">
        <v>0</v>
      </c>
      <c r="M76" s="1373">
        <f t="shared" si="24"/>
        <v>0</v>
      </c>
      <c r="N76" s="1373">
        <f t="shared" si="24"/>
        <v>0</v>
      </c>
      <c r="Z76" s="2498"/>
      <c r="AA76" s="2565"/>
      <c r="AG76" s="2641"/>
      <c r="AK76" s="2565"/>
    </row>
    <row r="77" spans="1:37" ht="51">
      <c r="A77" s="2651" t="s">
        <v>2754</v>
      </c>
      <c r="B77" s="2654" t="str">
        <f>估价对象房地状况!C20</f>
        <v>区域自然环境：巴沟山水园；人文环境：北京人民大学；综合评价环境状况较好</v>
      </c>
      <c r="C77" s="2550"/>
      <c r="D77" s="1371">
        <f t="shared" si="20"/>
        <v>0</v>
      </c>
      <c r="E77" s="839"/>
      <c r="F77" s="2664"/>
      <c r="G77" s="1372"/>
      <c r="H77" s="1376" t="str">
        <f t="shared" si="21"/>
        <v>——</v>
      </c>
      <c r="I77" s="827">
        <v>0.15</v>
      </c>
      <c r="J77" s="1373">
        <f t="shared" si="22"/>
        <v>0</v>
      </c>
      <c r="K77" s="1373">
        <f t="shared" si="23"/>
        <v>0</v>
      </c>
      <c r="L77" s="1373">
        <v>0</v>
      </c>
      <c r="M77" s="1373">
        <f t="shared" si="24"/>
        <v>0</v>
      </c>
      <c r="N77" s="1373">
        <f t="shared" si="24"/>
        <v>0</v>
      </c>
      <c r="Z77" s="2498"/>
      <c r="AA77" s="2565"/>
      <c r="AG77" s="2641"/>
      <c r="AK77" s="2565"/>
    </row>
    <row r="78" spans="1:37" ht="24.75" thickBot="1">
      <c r="A78" s="2660" t="s">
        <v>2763</v>
      </c>
      <c r="B78" s="2665"/>
      <c r="C78" s="2550"/>
      <c r="D78" s="1371">
        <f t="shared" si="20"/>
        <v>0</v>
      </c>
      <c r="E78" s="840"/>
      <c r="F78" s="2664"/>
      <c r="G78" s="1372"/>
      <c r="H78" s="1376" t="str">
        <f t="shared" si="21"/>
        <v>——</v>
      </c>
      <c r="I78" s="836">
        <v>0.04</v>
      </c>
      <c r="J78" s="1373">
        <f t="shared" si="22"/>
        <v>0</v>
      </c>
      <c r="K78" s="1373">
        <f t="shared" si="23"/>
        <v>0</v>
      </c>
      <c r="L78" s="1373">
        <v>0</v>
      </c>
      <c r="M78" s="1373">
        <f t="shared" si="24"/>
        <v>0</v>
      </c>
      <c r="N78" s="1373">
        <f t="shared" si="24"/>
        <v>0</v>
      </c>
      <c r="Z78" s="2498"/>
      <c r="AA78" s="2565"/>
      <c r="AG78" s="2641"/>
      <c r="AK78" s="2565"/>
    </row>
    <row r="79" spans="1:37" ht="15">
      <c r="A79" s="2646" t="s">
        <v>2764</v>
      </c>
      <c r="B79" s="2662">
        <f>1+E81</f>
        <v>1</v>
      </c>
      <c r="C79" s="816"/>
      <c r="D79" s="816"/>
      <c r="E79" s="817"/>
      <c r="F79" s="2649"/>
      <c r="G79" s="7"/>
      <c r="H79" s="7"/>
      <c r="I79" s="7"/>
      <c r="J79" s="9"/>
      <c r="K79" s="9"/>
      <c r="L79" s="9"/>
      <c r="M79" s="9"/>
      <c r="N79" s="9"/>
      <c r="Z79" s="2498"/>
      <c r="AA79" s="2565"/>
      <c r="AG79" s="2641"/>
      <c r="AK79" s="2565"/>
    </row>
    <row r="80" spans="1:37" ht="24.75">
      <c r="A80" s="2651" t="s">
        <v>2730</v>
      </c>
      <c r="B80" s="2655"/>
      <c r="C80" s="822" t="s">
        <v>2732</v>
      </c>
      <c r="D80" s="822" t="s">
        <v>2733</v>
      </c>
      <c r="E80" s="823" t="s">
        <v>2734</v>
      </c>
      <c r="F80" s="2652" t="s">
        <v>2735</v>
      </c>
      <c r="G80" s="822" t="s">
        <v>2756</v>
      </c>
      <c r="H80" s="2653" t="s">
        <v>2757</v>
      </c>
      <c r="I80" s="822" t="s">
        <v>2758</v>
      </c>
      <c r="J80" s="587" t="s">
        <v>2392</v>
      </c>
      <c r="K80" s="587" t="s">
        <v>2393</v>
      </c>
      <c r="L80" s="587" t="s">
        <v>2394</v>
      </c>
      <c r="M80" s="587" t="s">
        <v>2395</v>
      </c>
      <c r="N80" s="587" t="s">
        <v>2396</v>
      </c>
      <c r="Z80" s="2498"/>
      <c r="AA80" s="2565"/>
      <c r="AG80" s="2641"/>
      <c r="AK80" s="2565"/>
    </row>
    <row r="81" spans="1:37" ht="38.25">
      <c r="A81" s="2651" t="s">
        <v>2765</v>
      </c>
      <c r="B81" s="2655" t="str">
        <f>估价对象房地状况!G15</f>
        <v>估价对象位于XX开发区，园区建设成熟度XX，产业集聚程度XX</v>
      </c>
      <c r="C81" s="2550"/>
      <c r="D81" s="1371">
        <f t="shared" ref="D81:D88" si="25">SUMIF($J$80:$N$80,C81,J81:N81)</f>
        <v>0</v>
      </c>
      <c r="E81" s="828">
        <f>ROUND(SUM(D81:D88),4)</f>
        <v>0</v>
      </c>
      <c r="F81" s="2268"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8"/>
      <c r="AA81" s="2565"/>
      <c r="AG81" s="2641"/>
      <c r="AK81" s="2565"/>
    </row>
    <row r="82" spans="1:37" ht="51">
      <c r="A82" s="2651" t="s">
        <v>2745</v>
      </c>
      <c r="B82" s="2655" t="str">
        <f>估价对象房地状况!G16</f>
        <v>估价对象周边道路状况、公共交通通达情况、停车便捷程度，综合评价交通便捷度较好</v>
      </c>
      <c r="C82" s="2550"/>
      <c r="D82" s="1371">
        <f t="shared" si="25"/>
        <v>0</v>
      </c>
      <c r="E82" s="839"/>
      <c r="F82" s="2664"/>
      <c r="G82" s="1372"/>
      <c r="H82" s="1376" t="str">
        <f t="shared" si="26"/>
        <v>——</v>
      </c>
      <c r="I82" s="827">
        <v>0.33</v>
      </c>
      <c r="J82" s="1373">
        <f t="shared" si="27"/>
        <v>0</v>
      </c>
      <c r="K82" s="1373">
        <f t="shared" si="28"/>
        <v>0</v>
      </c>
      <c r="L82" s="1373">
        <v>0</v>
      </c>
      <c r="M82" s="1373">
        <f t="shared" si="29"/>
        <v>0</v>
      </c>
      <c r="N82" s="1373">
        <f t="shared" si="29"/>
        <v>0</v>
      </c>
      <c r="Z82" s="2498"/>
      <c r="AA82" s="2565"/>
      <c r="AG82" s="2641"/>
      <c r="AK82" s="2565"/>
    </row>
    <row r="83" spans="1:37" ht="24">
      <c r="A83" s="2651" t="s">
        <v>2746</v>
      </c>
      <c r="B83" s="2655">
        <f>估价对象房地状况!G17</f>
        <v>0</v>
      </c>
      <c r="C83" s="2550"/>
      <c r="D83" s="1371">
        <f t="shared" si="25"/>
        <v>0</v>
      </c>
      <c r="E83" s="839"/>
      <c r="F83" s="2664"/>
      <c r="G83" s="1372"/>
      <c r="H83" s="1376" t="str">
        <f t="shared" si="26"/>
        <v>——</v>
      </c>
      <c r="I83" s="827">
        <v>0.05</v>
      </c>
      <c r="J83" s="1373">
        <f t="shared" si="27"/>
        <v>0</v>
      </c>
      <c r="K83" s="1373">
        <f t="shared" si="28"/>
        <v>0</v>
      </c>
      <c r="L83" s="1373">
        <v>0</v>
      </c>
      <c r="M83" s="1373">
        <f t="shared" si="29"/>
        <v>0</v>
      </c>
      <c r="N83" s="1373">
        <f t="shared" si="29"/>
        <v>0</v>
      </c>
      <c r="Z83" s="2498"/>
      <c r="AA83" s="2565"/>
      <c r="AG83" s="2641"/>
      <c r="AK83" s="2565"/>
    </row>
    <row r="84" spans="1:37" ht="14.25">
      <c r="A84" s="2651" t="s">
        <v>2762</v>
      </c>
      <c r="B84" s="2655">
        <f>估价对象房地状况!G22</f>
        <v>0</v>
      </c>
      <c r="C84" s="2550"/>
      <c r="D84" s="1371">
        <f t="shared" si="25"/>
        <v>0</v>
      </c>
      <c r="E84" s="839"/>
      <c r="F84" s="2664"/>
      <c r="G84" s="1372"/>
      <c r="H84" s="1376" t="str">
        <f t="shared" si="26"/>
        <v>——</v>
      </c>
      <c r="I84" s="827">
        <v>0.04</v>
      </c>
      <c r="J84" s="1373">
        <f t="shared" si="27"/>
        <v>0</v>
      </c>
      <c r="K84" s="1373">
        <f t="shared" si="28"/>
        <v>0</v>
      </c>
      <c r="L84" s="1373">
        <v>0</v>
      </c>
      <c r="M84" s="1373">
        <f t="shared" si="29"/>
        <v>0</v>
      </c>
      <c r="N84" s="1373">
        <f t="shared" si="29"/>
        <v>0</v>
      </c>
      <c r="Z84" s="2498"/>
      <c r="AA84" s="2565"/>
      <c r="AG84" s="2641"/>
      <c r="AK84" s="2565"/>
    </row>
    <row r="85" spans="1:37" ht="25.5">
      <c r="A85" s="2651" t="s">
        <v>2752</v>
      </c>
      <c r="B85" s="2659" t="str">
        <f>估价对象房地状况!G19</f>
        <v>估价对象所在区域公共配套设施齐备情况</v>
      </c>
      <c r="C85" s="2550"/>
      <c r="D85" s="1371">
        <f t="shared" si="25"/>
        <v>0</v>
      </c>
      <c r="E85" s="839"/>
      <c r="F85" s="2664"/>
      <c r="G85" s="1372"/>
      <c r="H85" s="1376" t="str">
        <f t="shared" si="26"/>
        <v>——</v>
      </c>
      <c r="I85" s="827">
        <v>0.06</v>
      </c>
      <c r="J85" s="1373">
        <f t="shared" si="27"/>
        <v>0</v>
      </c>
      <c r="K85" s="1373">
        <f t="shared" si="28"/>
        <v>0</v>
      </c>
      <c r="L85" s="1373">
        <v>0</v>
      </c>
      <c r="M85" s="1373">
        <f t="shared" si="29"/>
        <v>0</v>
      </c>
      <c r="N85" s="1373">
        <f t="shared" si="29"/>
        <v>0</v>
      </c>
      <c r="Z85" s="2498"/>
      <c r="AA85" s="2565"/>
      <c r="AG85" s="2641"/>
      <c r="AK85" s="2565"/>
    </row>
    <row r="86" spans="1:37" ht="25.5">
      <c r="A86" s="2651" t="s">
        <v>2753</v>
      </c>
      <c r="B86" s="2659" t="str">
        <f>估价对象房地状况!G20</f>
        <v>估价对象所在区域基础设施水平</v>
      </c>
      <c r="C86" s="2550"/>
      <c r="D86" s="1371">
        <f t="shared" si="25"/>
        <v>0</v>
      </c>
      <c r="E86" s="839"/>
      <c r="F86" s="2664"/>
      <c r="G86" s="1372"/>
      <c r="H86" s="1376" t="str">
        <f t="shared" si="26"/>
        <v>——</v>
      </c>
      <c r="I86" s="827">
        <v>0.15</v>
      </c>
      <c r="J86" s="1373">
        <f t="shared" si="27"/>
        <v>0</v>
      </c>
      <c r="K86" s="1373">
        <f t="shared" si="28"/>
        <v>0</v>
      </c>
      <c r="L86" s="1373">
        <v>0</v>
      </c>
      <c r="M86" s="1373">
        <f t="shared" si="29"/>
        <v>0</v>
      </c>
      <c r="N86" s="1373">
        <f t="shared" si="29"/>
        <v>0</v>
      </c>
      <c r="Z86" s="2498"/>
      <c r="AA86" s="2565"/>
      <c r="AG86" s="2641"/>
      <c r="AK86" s="2565"/>
    </row>
    <row r="87" spans="1:37" ht="24">
      <c r="A87" s="2651" t="s">
        <v>2750</v>
      </c>
      <c r="B87" s="2657" t="s">
        <v>2751</v>
      </c>
      <c r="C87" s="2550"/>
      <c r="D87" s="1371">
        <f t="shared" si="25"/>
        <v>0</v>
      </c>
      <c r="E87" s="839"/>
      <c r="F87" s="2664"/>
      <c r="G87" s="1372"/>
      <c r="H87" s="1376" t="str">
        <f t="shared" si="26"/>
        <v>——</v>
      </c>
      <c r="I87" s="827">
        <v>0.05</v>
      </c>
      <c r="J87" s="1373">
        <f t="shared" si="27"/>
        <v>0</v>
      </c>
      <c r="K87" s="1373">
        <f t="shared" si="28"/>
        <v>0</v>
      </c>
      <c r="L87" s="1373">
        <v>0</v>
      </c>
      <c r="M87" s="1373">
        <f t="shared" si="29"/>
        <v>0</v>
      </c>
      <c r="N87" s="1373">
        <f t="shared" si="29"/>
        <v>0</v>
      </c>
      <c r="Z87" s="2498"/>
      <c r="AA87" s="2565"/>
      <c r="AG87" s="2641"/>
      <c r="AK87" s="2565"/>
    </row>
    <row r="88" spans="1:37" ht="39" thickBot="1">
      <c r="A88" s="2660" t="s">
        <v>2766</v>
      </c>
      <c r="B88" s="2666" t="str">
        <f>估价对象房地状况!G18</f>
        <v>该园区内是否有污染型企业，绿化情况，卫生条件，整体环境状况判断</v>
      </c>
      <c r="C88" s="2667"/>
      <c r="D88" s="1377">
        <f t="shared" si="25"/>
        <v>0</v>
      </c>
      <c r="E88" s="840"/>
      <c r="F88" s="2664"/>
      <c r="G88" s="1372"/>
      <c r="H88" s="1376" t="str">
        <f t="shared" si="26"/>
        <v>——</v>
      </c>
      <c r="I88" s="836">
        <v>0.06</v>
      </c>
      <c r="J88" s="1373">
        <f t="shared" si="27"/>
        <v>0</v>
      </c>
      <c r="K88" s="1373">
        <f t="shared" si="28"/>
        <v>0</v>
      </c>
      <c r="L88" s="1373">
        <v>0</v>
      </c>
      <c r="M88" s="1373">
        <f t="shared" si="29"/>
        <v>0</v>
      </c>
      <c r="N88" s="1373">
        <f t="shared" si="29"/>
        <v>0</v>
      </c>
      <c r="Z88" s="2498"/>
      <c r="AA88" s="2565"/>
      <c r="AG88" s="2641"/>
      <c r="AK88" s="2565"/>
    </row>
    <row r="90" spans="1:37">
      <c r="A90" s="3106" t="s">
        <v>2767</v>
      </c>
      <c r="B90" s="3106"/>
      <c r="C90" s="3106"/>
      <c r="D90" s="3106"/>
      <c r="E90" s="3106"/>
      <c r="F90" s="3106"/>
      <c r="G90" s="3106"/>
      <c r="H90" s="3106"/>
      <c r="I90" s="3106"/>
      <c r="J90" s="3106"/>
      <c r="K90" s="2668"/>
      <c r="L90" s="2668"/>
      <c r="M90" s="2668"/>
      <c r="N90" s="2668"/>
    </row>
    <row r="91" spans="1:37">
      <c r="A91" s="3108" t="s">
        <v>2768</v>
      </c>
      <c r="B91" s="3108" t="s">
        <v>2769</v>
      </c>
      <c r="C91" s="2616" t="s">
        <v>2770</v>
      </c>
      <c r="D91" s="2617"/>
      <c r="E91" s="2617"/>
      <c r="F91" s="2617"/>
      <c r="G91" s="2617"/>
      <c r="H91" s="2617"/>
      <c r="I91" s="2617"/>
      <c r="J91" s="2669"/>
      <c r="K91" s="2670"/>
      <c r="L91" s="2670"/>
      <c r="M91" s="2670"/>
      <c r="N91" s="2670"/>
    </row>
    <row r="92" spans="1:37">
      <c r="A92" s="3108"/>
      <c r="B92" s="3108"/>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09" t="s">
        <v>2771</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110"/>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110"/>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110"/>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110"/>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110"/>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110"/>
      <c r="B99" s="2671" t="s">
        <v>2639</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111"/>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109" t="s">
        <v>2772</v>
      </c>
      <c r="B101" s="2675" t="s">
        <v>2773</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110"/>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110"/>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110"/>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110"/>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110"/>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110"/>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110"/>
      <c r="B108" s="3112" t="s">
        <v>2774</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111"/>
      <c r="B109" s="3113"/>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107" t="s">
        <v>2775</v>
      </c>
      <c r="B110" s="3107"/>
      <c r="C110" s="3107"/>
      <c r="D110" s="3107"/>
      <c r="E110" s="3107"/>
      <c r="F110" s="3107"/>
      <c r="G110" s="3107"/>
      <c r="H110" s="3107"/>
      <c r="I110" s="3107"/>
      <c r="J110" s="3107"/>
      <c r="K110" s="2677"/>
      <c r="L110" s="2677"/>
      <c r="M110" s="2677"/>
      <c r="N110" s="2677"/>
    </row>
    <row r="112" spans="1:14" ht="13.5" thickBot="1"/>
    <row r="113" spans="1:13" ht="25.5" thickBot="1">
      <c r="A113" s="927" t="s">
        <v>2776</v>
      </c>
      <c r="B113" s="1374">
        <f>G3</f>
        <v>0</v>
      </c>
      <c r="C113" s="928" t="s">
        <v>2777</v>
      </c>
      <c r="D113" s="929">
        <f>SUMPRODUCT((A115:A118=F113)*(B114:M114=H113)*B115:M118)</f>
        <v>0</v>
      </c>
      <c r="E113" s="2679" t="s">
        <v>2663</v>
      </c>
      <c r="F113" s="2680">
        <f>E2</f>
        <v>0</v>
      </c>
      <c r="G113" s="2679" t="s">
        <v>2597</v>
      </c>
      <c r="H113" s="2680" t="str">
        <f>G2</f>
        <v>二级</v>
      </c>
      <c r="I113" s="2679"/>
      <c r="J113" s="2681"/>
      <c r="K113" s="2681"/>
      <c r="L113" s="2681"/>
      <c r="M113" s="2681"/>
    </row>
    <row r="114" spans="1:13">
      <c r="A114" s="932"/>
      <c r="B114" s="2682" t="s">
        <v>2778</v>
      </c>
      <c r="C114" s="2682" t="s">
        <v>2779</v>
      </c>
      <c r="D114" s="2682" t="s">
        <v>2780</v>
      </c>
      <c r="E114" s="2683" t="s">
        <v>2781</v>
      </c>
      <c r="F114" s="2683" t="s">
        <v>2782</v>
      </c>
      <c r="G114" s="2683" t="s">
        <v>2783</v>
      </c>
      <c r="H114" s="2684" t="s">
        <v>2784</v>
      </c>
      <c r="I114" s="2684" t="s">
        <v>2785</v>
      </c>
      <c r="J114" s="2685" t="s">
        <v>2786</v>
      </c>
      <c r="K114" s="2685" t="s">
        <v>2787</v>
      </c>
      <c r="L114" s="2685" t="s">
        <v>2788</v>
      </c>
      <c r="M114" s="2686"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130" t="s">
        <v>783</v>
      </c>
      <c r="B1" s="3130"/>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估价对象周边道路状况较好、公共交通通达情况较好、有534、539、611、614路等多路公交车及地铁10号线经过、停车便捷程度一般，综合评价交通便捷度较好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城市快速路-北三环西路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估价对象所在区域公共配套设施齐备情况齐全</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区域自然环境：巴沟山水园；人文环境：北京人民大学；综合评价环境状况较好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估价对象周边道路状况较好、公共交通通达情况较好、有534、539、611、614路等多路公交车及地铁10号线经过、停车便捷程度一般，综合评价交通便捷度较好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城市快速路-北三环西路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估价对象所在区域公共配套设施齐备情况齐全</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区域自然环境：巴沟山水园；人文环境：北京人民大学；综合评价环境状况较好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估价对象周边居住用地比例高、居住小区规模大和社区发展完善程度较好，有万柳华府、万柳光大等多个住宅小区，综合评价居住社区成熟度较好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估价对象周边道路状况较好、公共交通通达情况较好、有534、539、611、614路等多路公交车及地铁10号线经过、停车便捷程度一般，综合评价交通便捷度较好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城市快速路-北三环西路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估价对象所在区域公共配套设施齐备情况齐全</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区域自然环境：巴沟山水园；人文环境：北京人民大学；综合评价环境状况较好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0" t="s">
        <v>105</v>
      </c>
      <c r="B1" s="3130"/>
      <c r="C1" s="3130"/>
      <c r="D1" s="3130"/>
      <c r="E1" s="3130"/>
      <c r="F1" s="313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1" t="s">
        <v>118</v>
      </c>
      <c r="B2" s="3131"/>
      <c r="C2" s="3131"/>
      <c r="D2" s="3131"/>
      <c r="E2" s="3131"/>
      <c r="F2" s="313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4" t="s">
        <v>132</v>
      </c>
      <c r="B18" s="906" t="s">
        <v>517</v>
      </c>
      <c r="C18" s="907" t="s">
        <v>518</v>
      </c>
      <c r="D18" s="908"/>
      <c r="E18" s="906">
        <v>1</v>
      </c>
      <c r="F18" s="909" t="s">
        <v>519</v>
      </c>
      <c r="G18" s="910"/>
      <c r="H18" s="902"/>
      <c r="I18" s="902"/>
    </row>
    <row r="19" spans="1:9" s="911" customFormat="1" ht="19.5" customHeight="1">
      <c r="A19" s="3134"/>
      <c r="B19" s="3134" t="s">
        <v>520</v>
      </c>
      <c r="C19" s="907" t="s">
        <v>521</v>
      </c>
      <c r="D19" s="908"/>
      <c r="E19" s="906">
        <v>0.9</v>
      </c>
      <c r="F19" s="909" t="s">
        <v>522</v>
      </c>
      <c r="G19" s="910"/>
      <c r="H19" s="902"/>
      <c r="I19" s="902"/>
    </row>
    <row r="20" spans="1:9" s="911" customFormat="1" ht="19.5" customHeight="1">
      <c r="A20" s="3134"/>
      <c r="B20" s="3134"/>
      <c r="C20" s="907" t="s">
        <v>523</v>
      </c>
      <c r="D20" s="908"/>
      <c r="E20" s="906">
        <v>1.1000000000000001</v>
      </c>
      <c r="F20" s="909" t="s">
        <v>524</v>
      </c>
      <c r="G20" s="910"/>
      <c r="H20" s="902"/>
      <c r="I20" s="902"/>
    </row>
    <row r="21" spans="1:9" s="911" customFormat="1" ht="19.5" customHeight="1">
      <c r="A21" s="3134"/>
      <c r="B21" s="3134"/>
      <c r="C21" s="907" t="s">
        <v>525</v>
      </c>
      <c r="D21" s="908"/>
      <c r="E21" s="906">
        <v>0.8</v>
      </c>
      <c r="F21" s="909" t="s">
        <v>526</v>
      </c>
      <c r="G21" s="910"/>
      <c r="H21" s="902"/>
      <c r="I21" s="902"/>
    </row>
    <row r="22" spans="1:9" s="911" customFormat="1" ht="19.5" customHeight="1">
      <c r="A22" s="3134"/>
      <c r="B22" s="3134"/>
      <c r="C22" s="907" t="s">
        <v>527</v>
      </c>
      <c r="D22" s="908"/>
      <c r="E22" s="906">
        <v>0.5</v>
      </c>
      <c r="F22" s="909"/>
      <c r="G22" s="910"/>
      <c r="H22" s="902"/>
      <c r="I22" s="902"/>
    </row>
    <row r="23" spans="1:9" s="911" customFormat="1" ht="19.5" customHeight="1">
      <c r="A23" s="3134" t="s">
        <v>133</v>
      </c>
      <c r="B23" s="906" t="s">
        <v>517</v>
      </c>
      <c r="C23" s="907" t="s">
        <v>528</v>
      </c>
      <c r="D23" s="908"/>
      <c r="E23" s="906">
        <v>1</v>
      </c>
      <c r="F23" s="909" t="s">
        <v>529</v>
      </c>
      <c r="G23" s="910"/>
      <c r="H23" s="902"/>
      <c r="I23" s="902"/>
    </row>
    <row r="24" spans="1:9" s="911" customFormat="1" ht="19.5" customHeight="1">
      <c r="A24" s="3134"/>
      <c r="B24" s="3134" t="s">
        <v>520</v>
      </c>
      <c r="C24" s="907" t="s">
        <v>530</v>
      </c>
      <c r="D24" s="908"/>
      <c r="E24" s="906">
        <v>0.5</v>
      </c>
      <c r="F24" s="909"/>
      <c r="G24" s="910"/>
      <c r="H24" s="902"/>
      <c r="I24" s="902"/>
    </row>
    <row r="25" spans="1:9" s="911" customFormat="1" ht="19.5" customHeight="1">
      <c r="A25" s="3134"/>
      <c r="B25" s="3134"/>
      <c r="C25" s="907" t="s">
        <v>531</v>
      </c>
      <c r="D25" s="908"/>
      <c r="E25" s="906">
        <v>1.1000000000000001</v>
      </c>
      <c r="F25" s="909"/>
      <c r="G25" s="910"/>
      <c r="H25" s="902"/>
      <c r="I25" s="902"/>
    </row>
    <row r="26" spans="1:9" s="911" customFormat="1" ht="19.5" customHeight="1">
      <c r="A26" s="3134"/>
      <c r="B26" s="3134"/>
      <c r="C26" s="907" t="s">
        <v>532</v>
      </c>
      <c r="D26" s="908"/>
      <c r="E26" s="906">
        <v>1.1000000000000001</v>
      </c>
      <c r="F26" s="909"/>
      <c r="G26" s="910"/>
      <c r="H26" s="902"/>
      <c r="I26" s="902"/>
    </row>
    <row r="27" spans="1:9" s="911" customFormat="1" ht="19.5" customHeight="1">
      <c r="A27" s="3134"/>
      <c r="B27" s="3134"/>
      <c r="C27" s="907" t="s">
        <v>533</v>
      </c>
      <c r="D27" s="908"/>
      <c r="E27" s="906">
        <v>0.9</v>
      </c>
      <c r="F27" s="909" t="s">
        <v>534</v>
      </c>
      <c r="G27" s="910"/>
      <c r="H27" s="902"/>
      <c r="I27" s="902"/>
    </row>
    <row r="28" spans="1:9" s="911" customFormat="1" ht="19.5" customHeight="1">
      <c r="A28" s="3134"/>
      <c r="B28" s="3134"/>
      <c r="C28" s="907" t="s">
        <v>535</v>
      </c>
      <c r="D28" s="908"/>
      <c r="E28" s="906">
        <v>0.9</v>
      </c>
      <c r="F28" s="909" t="s">
        <v>536</v>
      </c>
      <c r="G28" s="910"/>
      <c r="H28" s="902"/>
      <c r="I28" s="902"/>
    </row>
    <row r="29" spans="1:9" s="911" customFormat="1" ht="19.5" customHeight="1">
      <c r="A29" s="3134"/>
      <c r="B29" s="3134"/>
      <c r="C29" s="907" t="s">
        <v>537</v>
      </c>
      <c r="D29" s="908"/>
      <c r="E29" s="906">
        <v>0.9</v>
      </c>
      <c r="F29" s="909" t="s">
        <v>538</v>
      </c>
      <c r="G29" s="910"/>
      <c r="H29" s="902"/>
      <c r="I29" s="902"/>
    </row>
    <row r="30" spans="1:9" s="911" customFormat="1" ht="19.5" customHeight="1">
      <c r="A30" s="3134"/>
      <c r="B30" s="3134"/>
      <c r="C30" s="907" t="s">
        <v>539</v>
      </c>
      <c r="D30" s="908"/>
      <c r="E30" s="906">
        <v>0.9</v>
      </c>
      <c r="F30" s="909" t="s">
        <v>540</v>
      </c>
      <c r="G30" s="910"/>
      <c r="H30" s="902"/>
      <c r="I30" s="902"/>
    </row>
    <row r="31" spans="1:9" s="911" customFormat="1" ht="19.5" customHeight="1">
      <c r="A31" s="3134"/>
      <c r="B31" s="3134"/>
      <c r="C31" s="907" t="s">
        <v>541</v>
      </c>
      <c r="D31" s="908"/>
      <c r="E31" s="906">
        <v>0.8</v>
      </c>
      <c r="F31" s="909" t="s">
        <v>542</v>
      </c>
      <c r="G31" s="910"/>
      <c r="H31" s="902"/>
      <c r="I31" s="902"/>
    </row>
    <row r="32" spans="1:9" s="911" customFormat="1" ht="19.5" customHeight="1">
      <c r="A32" s="3134"/>
      <c r="B32" s="3134"/>
      <c r="C32" s="907" t="s">
        <v>543</v>
      </c>
      <c r="D32" s="908"/>
      <c r="E32" s="906">
        <v>0.8</v>
      </c>
      <c r="F32" s="909" t="s">
        <v>544</v>
      </c>
      <c r="G32" s="910"/>
      <c r="H32" s="902"/>
      <c r="I32" s="902"/>
    </row>
    <row r="33" spans="1:9" s="911" customFormat="1" ht="19.5" customHeight="1">
      <c r="A33" s="3134" t="s">
        <v>134</v>
      </c>
      <c r="B33" s="906" t="s">
        <v>517</v>
      </c>
      <c r="C33" s="907" t="s">
        <v>545</v>
      </c>
      <c r="D33" s="908"/>
      <c r="E33" s="906">
        <v>1</v>
      </c>
      <c r="F33" s="909" t="s">
        <v>546</v>
      </c>
      <c r="G33" s="910"/>
      <c r="H33" s="902"/>
      <c r="I33" s="902"/>
    </row>
    <row r="34" spans="1:9" s="911" customFormat="1" ht="19.5" customHeight="1">
      <c r="A34" s="3134"/>
      <c r="B34" s="906" t="s">
        <v>520</v>
      </c>
      <c r="C34" s="907" t="s">
        <v>547</v>
      </c>
      <c r="D34" s="908"/>
      <c r="E34" s="906">
        <v>1.5</v>
      </c>
      <c r="F34" s="909" t="s">
        <v>548</v>
      </c>
      <c r="G34" s="910"/>
      <c r="H34" s="902"/>
      <c r="I34" s="902"/>
    </row>
    <row r="35" spans="1:9" s="911" customFormat="1" ht="19.5" customHeight="1">
      <c r="A35" s="3134" t="s">
        <v>135</v>
      </c>
      <c r="B35" s="906" t="s">
        <v>517</v>
      </c>
      <c r="C35" s="907" t="s">
        <v>549</v>
      </c>
      <c r="D35" s="908"/>
      <c r="E35" s="906">
        <v>1</v>
      </c>
      <c r="F35" s="909" t="s">
        <v>550</v>
      </c>
      <c r="G35" s="910"/>
      <c r="H35" s="902"/>
      <c r="I35" s="902"/>
    </row>
    <row r="36" spans="1:9" s="911" customFormat="1" ht="19.5" customHeight="1">
      <c r="A36" s="3134"/>
      <c r="B36" s="3134" t="s">
        <v>520</v>
      </c>
      <c r="C36" s="907" t="s">
        <v>551</v>
      </c>
      <c r="D36" s="908"/>
      <c r="E36" s="906">
        <v>1</v>
      </c>
      <c r="F36" s="909" t="s">
        <v>552</v>
      </c>
      <c r="G36" s="910"/>
      <c r="H36" s="902"/>
      <c r="I36" s="902"/>
    </row>
    <row r="37" spans="1:9" s="911" customFormat="1" ht="19.5" customHeight="1">
      <c r="A37" s="3134"/>
      <c r="B37" s="3134"/>
      <c r="C37" s="907" t="s">
        <v>553</v>
      </c>
      <c r="D37" s="908"/>
      <c r="E37" s="906">
        <v>1.5</v>
      </c>
      <c r="F37" s="909" t="s">
        <v>554</v>
      </c>
      <c r="G37" s="910"/>
      <c r="H37" s="902"/>
      <c r="I37" s="902"/>
    </row>
    <row r="38" spans="1:9" s="911" customFormat="1" ht="19.5" customHeight="1">
      <c r="A38" s="3134"/>
      <c r="B38" s="3134"/>
      <c r="C38" s="907" t="s">
        <v>555</v>
      </c>
      <c r="D38" s="908"/>
      <c r="E38" s="906">
        <v>1</v>
      </c>
      <c r="F38" s="909" t="s">
        <v>556</v>
      </c>
      <c r="G38" s="910"/>
      <c r="H38" s="902"/>
      <c r="I38" s="902"/>
    </row>
    <row r="39" spans="1:9" s="911" customFormat="1" ht="19.5" customHeight="1">
      <c r="A39" s="3134"/>
      <c r="B39" s="313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4" t="s">
        <v>571</v>
      </c>
      <c r="C61" s="820" t="s">
        <v>572</v>
      </c>
      <c r="D61" s="820" t="s">
        <v>573</v>
      </c>
      <c r="E61" s="919">
        <v>0.5</v>
      </c>
      <c r="F61" s="906">
        <v>80</v>
      </c>
    </row>
    <row r="62" spans="1:8" s="902" customFormat="1" ht="24">
      <c r="A62" s="906">
        <v>2</v>
      </c>
      <c r="B62" s="3134"/>
      <c r="C62" s="820" t="s">
        <v>574</v>
      </c>
      <c r="D62" s="820" t="s">
        <v>575</v>
      </c>
      <c r="E62" s="919">
        <v>0.5</v>
      </c>
      <c r="F62" s="906">
        <v>80</v>
      </c>
    </row>
    <row r="63" spans="1:8" s="902" customFormat="1" ht="36">
      <c r="A63" s="906">
        <v>3</v>
      </c>
      <c r="B63" s="3134"/>
      <c r="C63" s="820" t="s">
        <v>576</v>
      </c>
      <c r="D63" s="820" t="s">
        <v>577</v>
      </c>
      <c r="E63" s="919">
        <v>0.5</v>
      </c>
      <c r="F63" s="906">
        <v>80</v>
      </c>
    </row>
    <row r="64" spans="1:8" s="902" customFormat="1" ht="36">
      <c r="A64" s="906">
        <v>4</v>
      </c>
      <c r="B64" s="3134"/>
      <c r="C64" s="820" t="s">
        <v>578</v>
      </c>
      <c r="D64" s="820" t="s">
        <v>579</v>
      </c>
      <c r="E64" s="919">
        <v>0.4</v>
      </c>
      <c r="F64" s="906">
        <v>60</v>
      </c>
    </row>
    <row r="65" spans="1:6" s="902" customFormat="1" ht="36">
      <c r="A65" s="906">
        <v>5</v>
      </c>
      <c r="B65" s="3134"/>
      <c r="C65" s="820" t="s">
        <v>580</v>
      </c>
      <c r="D65" s="820" t="s">
        <v>581</v>
      </c>
      <c r="E65" s="919">
        <v>0.2</v>
      </c>
      <c r="F65" s="906">
        <v>30</v>
      </c>
    </row>
    <row r="66" spans="1:6" s="902" customFormat="1" ht="36">
      <c r="A66" s="906">
        <v>6</v>
      </c>
      <c r="B66" s="3134"/>
      <c r="C66" s="820" t="s">
        <v>582</v>
      </c>
      <c r="D66" s="820" t="s">
        <v>583</v>
      </c>
      <c r="E66" s="919">
        <v>0.3</v>
      </c>
      <c r="F66" s="906">
        <v>50</v>
      </c>
    </row>
    <row r="67" spans="1:6" s="902" customFormat="1" ht="36">
      <c r="A67" s="906">
        <v>7</v>
      </c>
      <c r="B67" s="3134"/>
      <c r="C67" s="820" t="s">
        <v>584</v>
      </c>
      <c r="D67" s="820" t="s">
        <v>585</v>
      </c>
      <c r="E67" s="919">
        <v>0.2</v>
      </c>
      <c r="F67" s="906">
        <v>30</v>
      </c>
    </row>
    <row r="68" spans="1:6" s="902" customFormat="1" ht="36">
      <c r="A68" s="906">
        <v>8</v>
      </c>
      <c r="B68" s="3134"/>
      <c r="C68" s="820" t="s">
        <v>586</v>
      </c>
      <c r="D68" s="820" t="s">
        <v>587</v>
      </c>
      <c r="E68" s="919">
        <v>0.2</v>
      </c>
      <c r="F68" s="906">
        <v>30</v>
      </c>
    </row>
    <row r="69" spans="1:6" s="902" customFormat="1" ht="36">
      <c r="A69" s="906">
        <v>9</v>
      </c>
      <c r="B69" s="3134"/>
      <c r="C69" s="820" t="s">
        <v>588</v>
      </c>
      <c r="D69" s="820" t="s">
        <v>589</v>
      </c>
      <c r="E69" s="919">
        <v>0.2</v>
      </c>
      <c r="F69" s="906">
        <v>30</v>
      </c>
    </row>
    <row r="70" spans="1:6" s="902" customFormat="1" ht="48">
      <c r="A70" s="906">
        <v>10</v>
      </c>
      <c r="B70" s="3134"/>
      <c r="C70" s="820" t="s">
        <v>590</v>
      </c>
      <c r="D70" s="820" t="s">
        <v>591</v>
      </c>
      <c r="E70" s="919">
        <v>0.2</v>
      </c>
      <c r="F70" s="906">
        <v>30</v>
      </c>
    </row>
    <row r="71" spans="1:6" s="902" customFormat="1" ht="48">
      <c r="A71" s="906">
        <v>11</v>
      </c>
      <c r="B71" s="3134"/>
      <c r="C71" s="820" t="s">
        <v>592</v>
      </c>
      <c r="D71" s="820" t="s">
        <v>593</v>
      </c>
      <c r="E71" s="919">
        <v>0.2</v>
      </c>
      <c r="F71" s="906">
        <v>30</v>
      </c>
    </row>
    <row r="72" spans="1:6" s="902" customFormat="1" ht="36">
      <c r="A72" s="906">
        <v>12</v>
      </c>
      <c r="B72" s="3134"/>
      <c r="C72" s="820" t="s">
        <v>594</v>
      </c>
      <c r="D72" s="820" t="s">
        <v>595</v>
      </c>
      <c r="E72" s="919">
        <v>0.5</v>
      </c>
      <c r="F72" s="906">
        <v>80</v>
      </c>
    </row>
    <row r="73" spans="1:6" s="902" customFormat="1" ht="24">
      <c r="A73" s="906">
        <v>13</v>
      </c>
      <c r="B73" s="3134"/>
      <c r="C73" s="820" t="s">
        <v>596</v>
      </c>
      <c r="D73" s="820" t="s">
        <v>597</v>
      </c>
      <c r="E73" s="919">
        <v>0.4</v>
      </c>
      <c r="F73" s="906">
        <v>60</v>
      </c>
    </row>
    <row r="74" spans="1:6" s="902" customFormat="1" ht="24">
      <c r="A74" s="906">
        <v>14</v>
      </c>
      <c r="B74" s="3134"/>
      <c r="C74" s="820" t="s">
        <v>598</v>
      </c>
      <c r="D74" s="820" t="s">
        <v>599</v>
      </c>
      <c r="E74" s="919">
        <v>0.2</v>
      </c>
      <c r="F74" s="906">
        <v>30</v>
      </c>
    </row>
    <row r="75" spans="1:6" s="902" customFormat="1" ht="24">
      <c r="A75" s="906">
        <v>15</v>
      </c>
      <c r="B75" s="3134"/>
      <c r="C75" s="820" t="s">
        <v>600</v>
      </c>
      <c r="D75" s="820" t="s">
        <v>601</v>
      </c>
      <c r="E75" s="919">
        <v>0.2</v>
      </c>
      <c r="F75" s="906">
        <v>30</v>
      </c>
    </row>
    <row r="76" spans="1:6" s="902" customFormat="1" ht="24">
      <c r="A76" s="906">
        <v>16</v>
      </c>
      <c r="B76" s="3134" t="s">
        <v>602</v>
      </c>
      <c r="C76" s="820" t="s">
        <v>603</v>
      </c>
      <c r="D76" s="820" t="s">
        <v>604</v>
      </c>
      <c r="E76" s="919">
        <v>0.5</v>
      </c>
      <c r="F76" s="906">
        <v>80</v>
      </c>
    </row>
    <row r="77" spans="1:6" s="902" customFormat="1" ht="24">
      <c r="A77" s="906">
        <v>17</v>
      </c>
      <c r="B77" s="3134"/>
      <c r="C77" s="820" t="s">
        <v>605</v>
      </c>
      <c r="D77" s="820" t="s">
        <v>606</v>
      </c>
      <c r="E77" s="919">
        <v>0.5</v>
      </c>
      <c r="F77" s="906">
        <v>80</v>
      </c>
    </row>
    <row r="78" spans="1:6" s="902" customFormat="1" ht="24">
      <c r="A78" s="906">
        <v>18</v>
      </c>
      <c r="B78" s="3134"/>
      <c r="C78" s="820" t="s">
        <v>607</v>
      </c>
      <c r="D78" s="820" t="s">
        <v>608</v>
      </c>
      <c r="E78" s="919">
        <v>0.2</v>
      </c>
      <c r="F78" s="906">
        <v>30</v>
      </c>
    </row>
    <row r="79" spans="1:6" s="902" customFormat="1" ht="24">
      <c r="A79" s="906">
        <v>19</v>
      </c>
      <c r="B79" s="3134"/>
      <c r="C79" s="820" t="s">
        <v>609</v>
      </c>
      <c r="D79" s="820" t="s">
        <v>610</v>
      </c>
      <c r="E79" s="919">
        <v>0.5</v>
      </c>
      <c r="F79" s="906">
        <v>80</v>
      </c>
    </row>
    <row r="80" spans="1:6" s="902" customFormat="1" ht="36">
      <c r="A80" s="906">
        <v>20</v>
      </c>
      <c r="B80" s="3134"/>
      <c r="C80" s="820" t="s">
        <v>611</v>
      </c>
      <c r="D80" s="820" t="s">
        <v>612</v>
      </c>
      <c r="E80" s="919">
        <v>0.2</v>
      </c>
      <c r="F80" s="906">
        <v>30</v>
      </c>
    </row>
    <row r="81" spans="1:6" s="902" customFormat="1" ht="36">
      <c r="A81" s="906">
        <v>21</v>
      </c>
      <c r="B81" s="3134"/>
      <c r="C81" s="820" t="s">
        <v>613</v>
      </c>
      <c r="D81" s="820" t="s">
        <v>614</v>
      </c>
      <c r="E81" s="919">
        <v>0.2</v>
      </c>
      <c r="F81" s="906">
        <v>30</v>
      </c>
    </row>
    <row r="82" spans="1:6" s="902" customFormat="1" ht="48">
      <c r="A82" s="906">
        <v>22</v>
      </c>
      <c r="B82" s="3134"/>
      <c r="C82" s="820" t="s">
        <v>615</v>
      </c>
      <c r="D82" s="820" t="s">
        <v>616</v>
      </c>
      <c r="E82" s="919">
        <v>0.2</v>
      </c>
      <c r="F82" s="906">
        <v>30</v>
      </c>
    </row>
    <row r="83" spans="1:6" s="902" customFormat="1" ht="48">
      <c r="A83" s="906">
        <v>23</v>
      </c>
      <c r="B83" s="3134"/>
      <c r="C83" s="820" t="s">
        <v>617</v>
      </c>
      <c r="D83" s="820" t="s">
        <v>618</v>
      </c>
      <c r="E83" s="919">
        <v>0.2</v>
      </c>
      <c r="F83" s="906">
        <v>30</v>
      </c>
    </row>
    <row r="84" spans="1:6" s="902" customFormat="1" ht="36">
      <c r="A84" s="906">
        <v>24</v>
      </c>
      <c r="B84" s="3134"/>
      <c r="C84" s="820" t="s">
        <v>619</v>
      </c>
      <c r="D84" s="820" t="s">
        <v>620</v>
      </c>
      <c r="E84" s="919">
        <v>0.2</v>
      </c>
      <c r="F84" s="906">
        <v>30</v>
      </c>
    </row>
    <row r="85" spans="1:6" s="902" customFormat="1" ht="36">
      <c r="A85" s="906">
        <v>25</v>
      </c>
      <c r="B85" s="3134"/>
      <c r="C85" s="820" t="s">
        <v>621</v>
      </c>
      <c r="D85" s="820" t="s">
        <v>622</v>
      </c>
      <c r="E85" s="919">
        <v>0.5</v>
      </c>
      <c r="F85" s="906">
        <v>80</v>
      </c>
    </row>
    <row r="86" spans="1:6" s="902" customFormat="1" ht="36">
      <c r="A86" s="906">
        <v>26</v>
      </c>
      <c r="B86" s="3134"/>
      <c r="C86" s="820" t="s">
        <v>623</v>
      </c>
      <c r="D86" s="820" t="s">
        <v>624</v>
      </c>
      <c r="E86" s="919">
        <v>0.2</v>
      </c>
      <c r="F86" s="906">
        <v>30</v>
      </c>
    </row>
    <row r="87" spans="1:6" s="902" customFormat="1" ht="36">
      <c r="A87" s="906">
        <v>27</v>
      </c>
      <c r="B87" s="3134"/>
      <c r="C87" s="820" t="s">
        <v>625</v>
      </c>
      <c r="D87" s="820" t="s">
        <v>626</v>
      </c>
      <c r="E87" s="919">
        <v>0.2</v>
      </c>
      <c r="F87" s="906">
        <v>30</v>
      </c>
    </row>
    <row r="88" spans="1:6" s="902" customFormat="1" ht="36">
      <c r="A88" s="906">
        <v>28</v>
      </c>
      <c r="B88" s="3134"/>
      <c r="C88" s="820" t="s">
        <v>627</v>
      </c>
      <c r="D88" s="820" t="s">
        <v>628</v>
      </c>
      <c r="E88" s="919">
        <v>0.2</v>
      </c>
      <c r="F88" s="906">
        <v>30</v>
      </c>
    </row>
    <row r="89" spans="1:6" s="902" customFormat="1" ht="24">
      <c r="A89" s="906">
        <v>29</v>
      </c>
      <c r="B89" s="3134"/>
      <c r="C89" s="820" t="s">
        <v>629</v>
      </c>
      <c r="D89" s="820" t="s">
        <v>630</v>
      </c>
      <c r="E89" s="919">
        <v>0.2</v>
      </c>
      <c r="F89" s="906">
        <v>30</v>
      </c>
    </row>
    <row r="90" spans="1:6" s="902" customFormat="1" ht="24">
      <c r="A90" s="906">
        <v>30</v>
      </c>
      <c r="B90" s="3134"/>
      <c r="C90" s="820" t="s">
        <v>631</v>
      </c>
      <c r="D90" s="820" t="s">
        <v>632</v>
      </c>
      <c r="E90" s="919">
        <v>0.2</v>
      </c>
      <c r="F90" s="906">
        <v>30</v>
      </c>
    </row>
    <row r="91" spans="1:6" s="902" customFormat="1" ht="36">
      <c r="A91" s="906">
        <v>31</v>
      </c>
      <c r="B91" s="3134"/>
      <c r="C91" s="820" t="s">
        <v>633</v>
      </c>
      <c r="D91" s="820" t="s">
        <v>634</v>
      </c>
      <c r="E91" s="919">
        <v>0.2</v>
      </c>
      <c r="F91" s="906">
        <v>30</v>
      </c>
    </row>
    <row r="92" spans="1:6" s="902" customFormat="1" ht="24">
      <c r="A92" s="906">
        <v>32</v>
      </c>
      <c r="B92" s="3134" t="s">
        <v>635</v>
      </c>
      <c r="C92" s="906" t="s">
        <v>636</v>
      </c>
      <c r="D92" s="820" t="s">
        <v>637</v>
      </c>
      <c r="E92" s="919">
        <v>0.2</v>
      </c>
      <c r="F92" s="906">
        <v>30</v>
      </c>
    </row>
    <row r="93" spans="1:6" s="902" customFormat="1" ht="36">
      <c r="A93" s="906">
        <v>33</v>
      </c>
      <c r="B93" s="3134"/>
      <c r="C93" s="906" t="s">
        <v>638</v>
      </c>
      <c r="D93" s="820" t="s">
        <v>639</v>
      </c>
      <c r="E93" s="919">
        <v>0.2</v>
      </c>
      <c r="F93" s="906">
        <v>30</v>
      </c>
    </row>
    <row r="94" spans="1:6" s="902" customFormat="1" ht="48">
      <c r="A94" s="906">
        <v>34</v>
      </c>
      <c r="B94" s="3134"/>
      <c r="C94" s="906" t="s">
        <v>640</v>
      </c>
      <c r="D94" s="820" t="s">
        <v>641</v>
      </c>
      <c r="E94" s="919">
        <v>0.2</v>
      </c>
      <c r="F94" s="906">
        <v>30</v>
      </c>
    </row>
    <row r="95" spans="1:6" s="902" customFormat="1" ht="36">
      <c r="A95" s="906">
        <v>35</v>
      </c>
      <c r="B95" s="3134"/>
      <c r="C95" s="906" t="s">
        <v>642</v>
      </c>
      <c r="D95" s="820" t="s">
        <v>643</v>
      </c>
      <c r="E95" s="919">
        <v>0.2</v>
      </c>
      <c r="F95" s="906">
        <v>30</v>
      </c>
    </row>
    <row r="96" spans="1:6" s="902" customFormat="1" ht="48">
      <c r="A96" s="906">
        <v>36</v>
      </c>
      <c r="B96" s="3134"/>
      <c r="C96" s="820" t="s">
        <v>644</v>
      </c>
      <c r="D96" s="820" t="s">
        <v>645</v>
      </c>
      <c r="E96" s="919">
        <v>0.2</v>
      </c>
      <c r="F96" s="906">
        <v>30</v>
      </c>
    </row>
    <row r="97" spans="1:6" s="902" customFormat="1" ht="36">
      <c r="A97" s="906">
        <v>37</v>
      </c>
      <c r="B97" s="3134"/>
      <c r="C97" s="906" t="s">
        <v>646</v>
      </c>
      <c r="D97" s="820" t="s">
        <v>647</v>
      </c>
      <c r="E97" s="919">
        <v>0.2</v>
      </c>
      <c r="F97" s="906">
        <v>30</v>
      </c>
    </row>
    <row r="98" spans="1:6" s="902" customFormat="1" ht="36">
      <c r="A98" s="906">
        <v>38</v>
      </c>
      <c r="B98" s="3134"/>
      <c r="C98" s="906" t="s">
        <v>648</v>
      </c>
      <c r="D98" s="820" t="s">
        <v>649</v>
      </c>
      <c r="E98" s="919">
        <v>0.2</v>
      </c>
      <c r="F98" s="906">
        <v>30</v>
      </c>
    </row>
    <row r="99" spans="1:6" s="902" customFormat="1" ht="36">
      <c r="A99" s="906">
        <v>39</v>
      </c>
      <c r="B99" s="3134" t="s">
        <v>650</v>
      </c>
      <c r="C99" s="906" t="s">
        <v>651</v>
      </c>
      <c r="D99" s="820" t="s">
        <v>652</v>
      </c>
      <c r="E99" s="919">
        <v>0.3</v>
      </c>
      <c r="F99" s="906">
        <v>50</v>
      </c>
    </row>
    <row r="100" spans="1:6" s="902" customFormat="1" ht="24">
      <c r="A100" s="906">
        <v>40</v>
      </c>
      <c r="B100" s="3134"/>
      <c r="C100" s="906" t="s">
        <v>653</v>
      </c>
      <c r="D100" s="820" t="s">
        <v>654</v>
      </c>
      <c r="E100" s="919">
        <v>0.2</v>
      </c>
      <c r="F100" s="906">
        <v>30</v>
      </c>
    </row>
    <row r="101" spans="1:6" s="902" customFormat="1" ht="36">
      <c r="A101" s="906">
        <v>41</v>
      </c>
      <c r="B101" s="313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4" t="s">
        <v>665</v>
      </c>
      <c r="C105" s="906" t="s">
        <v>666</v>
      </c>
      <c r="D105" s="820" t="s">
        <v>667</v>
      </c>
      <c r="E105" s="919">
        <v>0.2</v>
      </c>
      <c r="F105" s="906">
        <v>30</v>
      </c>
    </row>
    <row r="106" spans="1:6" s="902" customFormat="1" ht="36">
      <c r="A106" s="906">
        <v>46</v>
      </c>
      <c r="B106" s="3134"/>
      <c r="C106" s="906" t="s">
        <v>668</v>
      </c>
      <c r="D106" s="820" t="s">
        <v>669</v>
      </c>
      <c r="E106" s="919">
        <v>0.2</v>
      </c>
      <c r="F106" s="906">
        <v>30</v>
      </c>
    </row>
    <row r="107" spans="1:6" s="902" customFormat="1" ht="36">
      <c r="A107" s="906">
        <v>47</v>
      </c>
      <c r="B107" s="3134" t="s">
        <v>670</v>
      </c>
      <c r="C107" s="906" t="s">
        <v>671</v>
      </c>
      <c r="D107" s="820" t="s">
        <v>672</v>
      </c>
      <c r="E107" s="919">
        <v>0.3</v>
      </c>
      <c r="F107" s="906">
        <v>50</v>
      </c>
    </row>
    <row r="108" spans="1:6" s="902" customFormat="1" ht="36">
      <c r="A108" s="906">
        <v>48</v>
      </c>
      <c r="B108" s="313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4" t="s">
        <v>681</v>
      </c>
      <c r="C111" s="906" t="s">
        <v>682</v>
      </c>
      <c r="D111" s="820" t="s">
        <v>683</v>
      </c>
      <c r="E111" s="919">
        <v>0.2</v>
      </c>
      <c r="F111" s="906">
        <v>30</v>
      </c>
    </row>
    <row r="112" spans="1:6" s="902" customFormat="1" ht="24">
      <c r="A112" s="906">
        <v>52</v>
      </c>
      <c r="B112" s="3134"/>
      <c r="C112" s="906" t="s">
        <v>684</v>
      </c>
      <c r="D112" s="820" t="s">
        <v>685</v>
      </c>
      <c r="E112" s="919">
        <v>0.2</v>
      </c>
      <c r="F112" s="906">
        <v>30</v>
      </c>
    </row>
    <row r="113" spans="1:6" s="902" customFormat="1" ht="24">
      <c r="A113" s="906">
        <v>53</v>
      </c>
      <c r="B113" s="313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4" t="s">
        <v>694</v>
      </c>
      <c r="C116" s="906" t="s">
        <v>695</v>
      </c>
      <c r="D116" s="820" t="s">
        <v>696</v>
      </c>
      <c r="E116" s="919">
        <v>0.2</v>
      </c>
      <c r="F116" s="906">
        <v>30</v>
      </c>
    </row>
    <row r="117" spans="1:6" ht="36">
      <c r="A117" s="906">
        <v>57</v>
      </c>
      <c r="B117" s="313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40" t="s">
        <v>1027</v>
      </c>
      <c r="C1" s="3140"/>
      <c r="D1" s="3140"/>
      <c r="E1" s="3140"/>
      <c r="F1" s="3140"/>
      <c r="G1" s="3139" t="s">
        <v>1028</v>
      </c>
      <c r="H1" s="3139"/>
      <c r="I1" s="3139"/>
      <c r="J1" s="3139"/>
      <c r="K1" s="3139"/>
      <c r="L1" s="3139"/>
      <c r="N1" s="3139" t="s">
        <v>1029</v>
      </c>
      <c r="O1" s="3139"/>
      <c r="P1" s="3139"/>
      <c r="Q1" s="3139"/>
      <c r="R1" s="1543"/>
      <c r="S1" s="3139" t="s">
        <v>1030</v>
      </c>
      <c r="T1" s="3139"/>
      <c r="U1" s="3139"/>
      <c r="V1" s="3139"/>
      <c r="X1" s="3138" t="s">
        <v>1031</v>
      </c>
      <c r="Y1" s="3139"/>
      <c r="Z1" s="3139"/>
      <c r="AA1" s="3139"/>
      <c r="AB1" s="3139"/>
      <c r="AD1" s="3138" t="s">
        <v>1032</v>
      </c>
      <c r="AE1" s="3139"/>
      <c r="AF1" s="3139"/>
      <c r="AG1" s="3139"/>
      <c r="AH1" s="3139"/>
    </row>
    <row r="2" spans="1:34" s="1544" customFormat="1" ht="14.2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8" customFormat="1" ht="14.25">
      <c r="A3" s="2709" t="s">
        <v>2797</v>
      </c>
      <c r="B3" s="2699"/>
      <c r="C3" s="2699"/>
      <c r="D3" s="2700"/>
      <c r="E3" s="2700"/>
      <c r="F3" s="2699"/>
      <c r="G3" s="2701"/>
      <c r="H3" s="2702"/>
      <c r="I3" s="2703">
        <f>ROUND(AVERAGE(I4:I29),2)</f>
        <v>1.9</v>
      </c>
      <c r="J3" s="2703">
        <f>ROUND(AVERAGE(J4:J29),2)</f>
        <v>1.35</v>
      </c>
      <c r="K3" s="2703">
        <f>ROUND(AVERAGE(K4:K29),2)</f>
        <v>2.08</v>
      </c>
      <c r="L3" s="2704">
        <f>ROUND(AVERAGE(L4:L29),2)</f>
        <v>1.33</v>
      </c>
      <c r="N3" s="2701"/>
      <c r="O3" s="2705"/>
      <c r="P3" s="2705"/>
      <c r="Q3" s="2705"/>
      <c r="R3" s="2705"/>
      <c r="S3" s="2701"/>
      <c r="T3" s="2705"/>
      <c r="U3" s="2705"/>
      <c r="V3" s="2705"/>
      <c r="W3" s="2708"/>
      <c r="X3" s="2706">
        <f>ROUND(SUMPRODUCT(PRODUCT(1+N3:N$28)),4)</f>
        <v>1.5516000000000001</v>
      </c>
      <c r="Y3" s="2706">
        <f>ROUND(SUMPRODUCT(PRODUCT(1+O3:O$28)),4)</f>
        <v>1.3649</v>
      </c>
      <c r="Z3" s="2706">
        <f t="shared" ref="Z3:Z26" si="0">Y3</f>
        <v>1.3649</v>
      </c>
      <c r="AA3" s="2706">
        <f>ROUND(SUMPRODUCT(PRODUCT(1+P3:P$28)),4)</f>
        <v>1.6133999999999999</v>
      </c>
      <c r="AB3" s="2706">
        <f>ROUND(SUMPRODUCT(PRODUCT(1+Q3:Q$28)),4)</f>
        <v>1.3713</v>
      </c>
      <c r="AD3" s="2707">
        <f>ROUND(AVERAGE(I3:I$29)/100,4)</f>
        <v>1.9E-2</v>
      </c>
      <c r="AE3" s="2707">
        <f>ROUND(AVERAGE(J3:J$29)/100,4)</f>
        <v>1.35E-2</v>
      </c>
      <c r="AF3" s="2707">
        <f t="shared" ref="AF3:AF17" si="1">AE3</f>
        <v>1.35E-2</v>
      </c>
      <c r="AG3" s="2707">
        <f>ROUND(AVERAGE(K3:K$29)/100,4)</f>
        <v>2.0799999999999999E-2</v>
      </c>
      <c r="AH3" s="2707">
        <f>ROUND(AVERAGE(L3:L$29)/100,4)</f>
        <v>1.3299999999999999E-2</v>
      </c>
    </row>
    <row r="4" spans="1:34" s="1550" customFormat="1" ht="14.25">
      <c r="B4" s="1551"/>
      <c r="C4" s="1551"/>
      <c r="D4" s="1552"/>
      <c r="E4" s="1552"/>
      <c r="F4" s="1551"/>
      <c r="G4" s="1553"/>
      <c r="H4" s="1554"/>
      <c r="I4" s="2691"/>
      <c r="J4" s="2691"/>
      <c r="K4" s="2691"/>
      <c r="L4" s="2691"/>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3">
        <v>2020</v>
      </c>
      <c r="H5" s="1816">
        <v>1</v>
      </c>
      <c r="I5" s="2692">
        <v>0</v>
      </c>
      <c r="J5" s="2692">
        <v>0</v>
      </c>
      <c r="K5" s="2692">
        <v>0</v>
      </c>
      <c r="L5" s="2693">
        <v>0</v>
      </c>
      <c r="N5" s="1565">
        <f t="shared" ref="N5" si="7">I5/100</f>
        <v>0</v>
      </c>
      <c r="O5" s="1565">
        <f t="shared" ref="O5" si="8">J5/100</f>
        <v>0</v>
      </c>
      <c r="P5" s="1565">
        <f t="shared" ref="P5" si="9">K5/100</f>
        <v>0</v>
      </c>
      <c r="Q5" s="1565">
        <f t="shared" ref="Q5" si="10">L5/100</f>
        <v>0</v>
      </c>
      <c r="R5" s="1818"/>
      <c r="S5" s="1819"/>
      <c r="T5" s="1818"/>
      <c r="U5" s="1818"/>
      <c r="V5" s="1818"/>
      <c r="W5" s="2697" t="s">
        <v>2796</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0" customFormat="1" ht="14.45" customHeight="1">
      <c r="A6" s="1558" t="s">
        <v>2824</v>
      </c>
      <c r="B6" s="2734">
        <f t="shared" ref="B6:B11" si="13">B7*(1+N6)</f>
        <v>477.19997390765138</v>
      </c>
      <c r="C6" s="2734">
        <f t="shared" ref="C6" si="14">C7*(1+O6)</f>
        <v>351.84874729536665</v>
      </c>
      <c r="D6" s="2734">
        <f t="shared" ref="D6" si="15">C6</f>
        <v>351.84874729536665</v>
      </c>
      <c r="E6" s="2734">
        <f t="shared" ref="E6" si="16">E7*(1+P6)</f>
        <v>682.29768951465201</v>
      </c>
      <c r="F6" s="2734">
        <f t="shared" ref="F6" si="17">F7*(1+Q6)</f>
        <v>315.26985675409043</v>
      </c>
      <c r="G6" s="2743">
        <v>2019</v>
      </c>
      <c r="H6" s="1561">
        <v>4</v>
      </c>
      <c r="I6" s="1561">
        <v>0</v>
      </c>
      <c r="J6" s="1561">
        <v>0</v>
      </c>
      <c r="K6" s="1561">
        <v>0</v>
      </c>
      <c r="L6" s="1576">
        <v>0</v>
      </c>
      <c r="M6" s="2735"/>
      <c r="N6" s="2736">
        <f t="shared" ref="N6:N11" si="18">I6/100</f>
        <v>0</v>
      </c>
      <c r="O6" s="2737">
        <f t="shared" ref="O6" si="19">J6/100</f>
        <v>0</v>
      </c>
      <c r="P6" s="2737">
        <f t="shared" ref="P6" si="20">K6/100</f>
        <v>0</v>
      </c>
      <c r="Q6" s="2737">
        <f t="shared" ref="Q6" si="21">L6/100</f>
        <v>0</v>
      </c>
      <c r="R6" s="2735"/>
      <c r="S6" s="2736"/>
      <c r="T6" s="2737"/>
      <c r="U6" s="2737"/>
      <c r="V6" s="2737"/>
      <c r="W6" s="2735"/>
      <c r="X6" s="2738">
        <f>ROUND(SUMPRODUCT(PRODUCT(1+N6:N$28)),4)</f>
        <v>1.5516000000000001</v>
      </c>
      <c r="Y6" s="2738">
        <f>ROUND(SUMPRODUCT(PRODUCT(1+O6:O$28)),4)</f>
        <v>1.3649</v>
      </c>
      <c r="Z6" s="2738">
        <f t="shared" ref="Z6" si="22">Y6</f>
        <v>1.3649</v>
      </c>
      <c r="AA6" s="2738">
        <f>ROUND(SUMPRODUCT(PRODUCT(1+P6:P$28)),4)</f>
        <v>1.6133999999999999</v>
      </c>
      <c r="AB6" s="2738">
        <f>ROUND(SUMPRODUCT(PRODUCT(1+Q6:Q$28)),4)</f>
        <v>1.3713</v>
      </c>
      <c r="AC6" s="2735"/>
      <c r="AD6" s="2739">
        <f>ROUND(AVERAGE(I6:I$29)/100,4)</f>
        <v>1.9800000000000002E-2</v>
      </c>
      <c r="AE6" s="2739">
        <f>ROUND(AVERAGE(J6:J$29)/100,4)</f>
        <v>1.41E-2</v>
      </c>
      <c r="AF6" s="2739">
        <f t="shared" ref="AF6" si="23">AE6</f>
        <v>1.41E-2</v>
      </c>
      <c r="AG6" s="2739">
        <f>ROUND(AVERAGE(K6:K$29)/100,4)</f>
        <v>2.1600000000000001E-2</v>
      </c>
      <c r="AH6" s="2739">
        <f>ROUND(AVERAGE(L6:L$29)/100,4)</f>
        <v>1.38E-2</v>
      </c>
    </row>
    <row r="7" spans="1:34" s="2740" customFormat="1" ht="14.45" customHeight="1" thickBot="1">
      <c r="A7" s="1558" t="s">
        <v>2820</v>
      </c>
      <c r="B7" s="2734">
        <f t="shared" si="13"/>
        <v>477.19997390765138</v>
      </c>
      <c r="C7" s="2734">
        <f t="shared" ref="C7" si="24">C8*(1+O7)</f>
        <v>351.84874729536665</v>
      </c>
      <c r="D7" s="2734">
        <f t="shared" ref="D7" si="25">C7</f>
        <v>351.84874729536665</v>
      </c>
      <c r="E7" s="2734">
        <f t="shared" ref="E7" si="26">E8*(1+P7)</f>
        <v>682.29768951465201</v>
      </c>
      <c r="F7" s="2734">
        <f t="shared" ref="F7" si="27">F8*(1+Q7)</f>
        <v>315.26985675409043</v>
      </c>
      <c r="G7" s="2742">
        <v>2019</v>
      </c>
      <c r="H7" s="1561">
        <v>3</v>
      </c>
      <c r="I7" s="1561">
        <v>0.61</v>
      </c>
      <c r="J7" s="1561">
        <v>0.67</v>
      </c>
      <c r="K7" s="1561">
        <v>0.6</v>
      </c>
      <c r="L7" s="1576">
        <v>1.03</v>
      </c>
      <c r="M7" s="2735"/>
      <c r="N7" s="2736">
        <f t="shared" si="18"/>
        <v>6.0999999999999995E-3</v>
      </c>
      <c r="O7" s="2737">
        <f t="shared" ref="O7" si="28">J7/100</f>
        <v>6.7000000000000002E-3</v>
      </c>
      <c r="P7" s="2737">
        <f t="shared" ref="P7" si="29">K7/100</f>
        <v>6.0000000000000001E-3</v>
      </c>
      <c r="Q7" s="2737">
        <f t="shared" ref="Q7" si="30">L7/100</f>
        <v>1.03E-2</v>
      </c>
      <c r="R7" s="2735"/>
      <c r="S7" s="2736"/>
      <c r="T7" s="2737"/>
      <c r="U7" s="2737"/>
      <c r="V7" s="2737"/>
      <c r="W7" s="2735"/>
      <c r="X7" s="2738">
        <f>ROUND(SUMPRODUCT(PRODUCT(1+N7:N$28)),4)</f>
        <v>1.5516000000000001</v>
      </c>
      <c r="Y7" s="2738">
        <f>ROUND(SUMPRODUCT(PRODUCT(1+O7:O$28)),4)</f>
        <v>1.3649</v>
      </c>
      <c r="Z7" s="2738">
        <f t="shared" ref="Z7" si="31">Y7</f>
        <v>1.3649</v>
      </c>
      <c r="AA7" s="2738">
        <f>ROUND(SUMPRODUCT(PRODUCT(1+P7:P$28)),4)</f>
        <v>1.6133999999999999</v>
      </c>
      <c r="AB7" s="2738">
        <f>ROUND(SUMPRODUCT(PRODUCT(1+Q7:Q$28)),4)</f>
        <v>1.3713</v>
      </c>
      <c r="AC7" s="2735"/>
      <c r="AD7" s="2739">
        <f>ROUND(AVERAGE(I7:I$29)/100,4)</f>
        <v>2.07E-2</v>
      </c>
      <c r="AE7" s="2739">
        <f>ROUND(AVERAGE(J7:J$29)/100,4)</f>
        <v>1.47E-2</v>
      </c>
      <c r="AF7" s="2739">
        <f t="shared" ref="AF7" si="32">AE7</f>
        <v>1.47E-2</v>
      </c>
      <c r="AG7" s="2739">
        <f>ROUND(AVERAGE(K7:K$29)/100,4)</f>
        <v>2.2599999999999999E-2</v>
      </c>
      <c r="AH7" s="2739">
        <f>ROUND(AVERAGE(L7:L$29)/100,4)</f>
        <v>1.44E-2</v>
      </c>
    </row>
    <row r="8" spans="1:34" s="2740" customFormat="1" ht="14.45" customHeight="1">
      <c r="A8" s="1558" t="s">
        <v>2814</v>
      </c>
      <c r="B8" s="2734">
        <f t="shared" si="13"/>
        <v>474.30670301923408</v>
      </c>
      <c r="C8" s="2734">
        <f t="shared" ref="C8" si="33">C9*(1+O8)</f>
        <v>349.50705005996491</v>
      </c>
      <c r="D8" s="2734">
        <f t="shared" ref="D8" si="34">C8</f>
        <v>349.50705005996491</v>
      </c>
      <c r="E8" s="2734">
        <f t="shared" ref="E8" si="35">E9*(1+P8)</f>
        <v>678.22831959706957</v>
      </c>
      <c r="F8" s="2734">
        <f t="shared" ref="F8" si="36">F9*(1+Q8)</f>
        <v>312.0556832169558</v>
      </c>
      <c r="G8" s="2733">
        <v>2019</v>
      </c>
      <c r="H8" s="1559">
        <v>2</v>
      </c>
      <c r="I8" s="1559">
        <v>1.53</v>
      </c>
      <c r="J8" s="1559">
        <v>1.01</v>
      </c>
      <c r="K8" s="1559">
        <v>1.62</v>
      </c>
      <c r="L8" s="1560">
        <v>1.25</v>
      </c>
      <c r="M8" s="2735"/>
      <c r="N8" s="2736">
        <f t="shared" si="18"/>
        <v>1.5300000000000001E-2</v>
      </c>
      <c r="O8" s="2737">
        <f t="shared" ref="O8" si="37">J8/100</f>
        <v>1.01E-2</v>
      </c>
      <c r="P8" s="2737">
        <f t="shared" ref="P8" si="38">K8/100</f>
        <v>1.6200000000000003E-2</v>
      </c>
      <c r="Q8" s="2737">
        <f t="shared" ref="Q8" si="39">L8/100</f>
        <v>1.2500000000000001E-2</v>
      </c>
      <c r="R8" s="2735"/>
      <c r="S8" s="2736"/>
      <c r="T8" s="2737"/>
      <c r="U8" s="2737"/>
      <c r="V8" s="2737"/>
      <c r="W8" s="2735"/>
      <c r="X8" s="2738">
        <f>ROUND(SUMPRODUCT(PRODUCT(1+N8:N$28)),4)</f>
        <v>1.5422</v>
      </c>
      <c r="Y8" s="2738">
        <f>ROUND(SUMPRODUCT(PRODUCT(1+O8:O$28)),4)</f>
        <v>1.3557999999999999</v>
      </c>
      <c r="Z8" s="2738">
        <f t="shared" ref="Z8" si="40">Y8</f>
        <v>1.3557999999999999</v>
      </c>
      <c r="AA8" s="2738">
        <f>ROUND(SUMPRODUCT(PRODUCT(1+P8:P$28)),4)</f>
        <v>1.6036999999999999</v>
      </c>
      <c r="AB8" s="2738">
        <f>ROUND(SUMPRODUCT(PRODUCT(1+Q8:Q$28)),4)</f>
        <v>1.3573</v>
      </c>
      <c r="AC8" s="2735"/>
      <c r="AD8" s="2739">
        <f>ROUND(AVERAGE(I8:I$29)/100,4)</f>
        <v>2.1299999999999999E-2</v>
      </c>
      <c r="AE8" s="2739">
        <f>ROUND(AVERAGE(J8:J$29)/100,4)</f>
        <v>1.4999999999999999E-2</v>
      </c>
      <c r="AF8" s="2739">
        <f t="shared" ref="AF8" si="41">AE8</f>
        <v>1.4999999999999999E-2</v>
      </c>
      <c r="AG8" s="2739">
        <f>ROUND(AVERAGE(K8:K$29)/100,4)</f>
        <v>2.3300000000000001E-2</v>
      </c>
      <c r="AH8" s="2739">
        <f>ROUND(AVERAGE(L8:L$29)/100,4)</f>
        <v>1.46E-2</v>
      </c>
    </row>
    <row r="9" spans="1:34" s="2740" customFormat="1" ht="14.45" customHeight="1" thickBot="1">
      <c r="A9" s="1558" t="s">
        <v>2815</v>
      </c>
      <c r="B9" s="2734">
        <f t="shared" si="13"/>
        <v>467.15916775261894</v>
      </c>
      <c r="C9" s="2734">
        <f t="shared" ref="C9" si="42">C10*(1+O9)</f>
        <v>346.01232557169084</v>
      </c>
      <c r="D9" s="2734">
        <f t="shared" ref="D9" si="43">C9</f>
        <v>346.01232557169084</v>
      </c>
      <c r="E9" s="2734">
        <f t="shared" ref="E9" si="44">E10*(1+P9)</f>
        <v>667.41617752122568</v>
      </c>
      <c r="F9" s="2734">
        <f t="shared" ref="F9" si="45">F10*(1+Q9)</f>
        <v>308.20314391798104</v>
      </c>
      <c r="G9" s="2714">
        <v>2019</v>
      </c>
      <c r="H9" s="1561">
        <v>1</v>
      </c>
      <c r="I9" s="1561">
        <v>0.6</v>
      </c>
      <c r="J9" s="1561">
        <v>0.37</v>
      </c>
      <c r="K9" s="1561">
        <v>0.63</v>
      </c>
      <c r="L9" s="1576">
        <v>1.1299999999999999</v>
      </c>
      <c r="M9" s="2735"/>
      <c r="N9" s="2736">
        <f t="shared" si="18"/>
        <v>6.0000000000000001E-3</v>
      </c>
      <c r="O9" s="2737">
        <f t="shared" ref="O9" si="46">J9/100</f>
        <v>3.7000000000000002E-3</v>
      </c>
      <c r="P9" s="2737">
        <f t="shared" ref="P9" si="47">K9/100</f>
        <v>6.3E-3</v>
      </c>
      <c r="Q9" s="2737">
        <f t="shared" ref="Q9" si="48">L9/100</f>
        <v>1.1299999999999999E-2</v>
      </c>
      <c r="R9" s="2735"/>
      <c r="S9" s="2736">
        <f>B9/B10-1</f>
        <v>6.0000000000000053E-3</v>
      </c>
      <c r="T9" s="2737">
        <f>C9/C10-1</f>
        <v>3.7000000000000366E-3</v>
      </c>
      <c r="U9" s="2737">
        <f>E9/E10-1</f>
        <v>6.2999999999999723E-3</v>
      </c>
      <c r="V9" s="2737">
        <f>F9/F10-1</f>
        <v>1.1300000000000088E-2</v>
      </c>
      <c r="W9" s="2735"/>
      <c r="X9" s="2738">
        <f>ROUND(SUMPRODUCT(PRODUCT(1+N9:N$28)),4)</f>
        <v>1.5189999999999999</v>
      </c>
      <c r="Y9" s="2738">
        <f>ROUND(SUMPRODUCT(PRODUCT(1+O9:O$28)),4)</f>
        <v>1.3423</v>
      </c>
      <c r="Z9" s="2738">
        <f t="shared" ref="Z9" si="49">Y9</f>
        <v>1.3423</v>
      </c>
      <c r="AA9" s="2738">
        <f>ROUND(SUMPRODUCT(PRODUCT(1+P9:P$28)),4)</f>
        <v>1.5782</v>
      </c>
      <c r="AB9" s="2738">
        <f>ROUND(SUMPRODUCT(PRODUCT(1+Q9:Q$28)),4)</f>
        <v>1.3405</v>
      </c>
      <c r="AC9" s="2735"/>
      <c r="AD9" s="2739">
        <f>ROUND(AVERAGE(I9:I$29)/100,4)</f>
        <v>2.1600000000000001E-2</v>
      </c>
      <c r="AE9" s="2739">
        <f>ROUND(AVERAGE(J9:J$29)/100,4)</f>
        <v>1.5299999999999999E-2</v>
      </c>
      <c r="AF9" s="2739">
        <f t="shared" ref="AF9" si="50">AE9</f>
        <v>1.5299999999999999E-2</v>
      </c>
      <c r="AG9" s="2739">
        <f>ROUND(AVERAGE(K9:K$29)/100,4)</f>
        <v>2.3699999999999999E-2</v>
      </c>
      <c r="AH9" s="2739">
        <f>ROUND(AVERAGE(L9:L$29)/100,4)</f>
        <v>1.47E-2</v>
      </c>
    </row>
    <row r="10" spans="1:34">
      <c r="A10" s="1558" t="s">
        <v>2810</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36">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2805</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36"/>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2804</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36"/>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2801</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45"/>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2798</v>
      </c>
      <c r="B14" s="1567">
        <v>439</v>
      </c>
      <c r="C14" s="1567">
        <v>327</v>
      </c>
      <c r="D14" s="1567">
        <f t="shared" si="81"/>
        <v>327</v>
      </c>
      <c r="E14" s="1567">
        <v>627</v>
      </c>
      <c r="F14" s="1568">
        <v>283</v>
      </c>
      <c r="G14" s="3141">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2793</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36"/>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36"/>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45"/>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41">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36"/>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36"/>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37"/>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35">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36"/>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36"/>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37"/>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35">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36"/>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36"/>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37"/>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42">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43"/>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43"/>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44"/>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35">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36"/>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36"/>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37"/>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35">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36">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36">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37">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35">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36">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36">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37">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35">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36">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36">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37">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35">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36">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36">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37">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35">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36">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36">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37">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35">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36">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36">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37">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35">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36">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36">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37">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35">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36">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36">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37">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35">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36">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36">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37">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35">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36">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36">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37">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43888</v>
      </c>
      <c r="D1" s="1797" t="s">
        <v>1180</v>
      </c>
      <c r="E1" s="1803">
        <f>'数据-取费表'!B23</f>
        <v>1.5</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P11:R17"/>
  <sheetViews>
    <sheetView zoomScaleNormal="100" workbookViewId="0">
      <selection activeCell="Q16" sqref="Q15:Q16"/>
    </sheetView>
  </sheetViews>
  <sheetFormatPr defaultRowHeight="13.5"/>
  <sheetData>
    <row r="11" spans="16:18">
      <c r="P11">
        <v>31000</v>
      </c>
      <c r="Q11">
        <v>30000</v>
      </c>
      <c r="R11">
        <v>27000</v>
      </c>
    </row>
    <row r="13" spans="16:18">
      <c r="P13">
        <f>P11/181*261</f>
        <v>44701.657458563539</v>
      </c>
      <c r="Q13">
        <f>Q11/220*261</f>
        <v>35590.909090909096</v>
      </c>
      <c r="R13">
        <f>R11/156*261</f>
        <v>45173.076923076922</v>
      </c>
    </row>
    <row r="16" spans="16:18" ht="12.75" customHeight="1"/>
    <row r="17" hidden="1"/>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4"/>
      <c r="B3" s="1924"/>
      <c r="C3" s="1924"/>
      <c r="D3" s="1924"/>
      <c r="E3" s="1924"/>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1"/>
      <c r="B5" s="1925" t="s">
        <v>742</v>
      </c>
      <c r="C5" s="2789" t="s">
        <v>779</v>
      </c>
      <c r="D5" s="2790"/>
      <c r="E5" s="1921"/>
    </row>
    <row r="6" spans="1:5" ht="14.25">
      <c r="A6" s="1921"/>
      <c r="B6" s="1926" t="str">
        <f>项目基本情况!I1</f>
        <v>北京市房地产</v>
      </c>
      <c r="C6" s="2791">
        <f>项目基本情况!C12</f>
        <v>261.58999999999997</v>
      </c>
      <c r="D6" s="2791"/>
      <c r="E6" s="1921"/>
    </row>
    <row r="7" spans="1:5" ht="14.25">
      <c r="A7" s="1921"/>
      <c r="B7" s="2785" t="s">
        <v>780</v>
      </c>
      <c r="C7" s="1927" t="str">
        <f>IF('数据-取费表'!B3="万元","总价（万元）","总价（元）")</f>
        <v>总价（元）</v>
      </c>
      <c r="D7" s="1928">
        <f ca="1">IF('数据-取费表'!E3="否",结果表!I102,'结果表 (1修多)'!I103)</f>
        <v>31240647</v>
      </c>
      <c r="E7" s="1921"/>
    </row>
    <row r="8" spans="1:5" ht="28.5">
      <c r="A8" s="1921"/>
      <c r="B8" s="2785"/>
      <c r="C8" s="1929" t="s">
        <v>1169</v>
      </c>
      <c r="D8" s="1930" t="str">
        <f ca="1">IF('数据-取费表'!B3="万元",NUMBERSTRING(INT(D7*10000),2)&amp;"元整",NUMBERSTRING(INT(D7),2)&amp;"元整")</f>
        <v>叁仟壹佰贰拾肆万零陆佰肆拾柒元整</v>
      </c>
      <c r="E8" s="1921"/>
    </row>
    <row r="9" spans="1:5" ht="14.25">
      <c r="A9" s="1921"/>
      <c r="B9" s="2785"/>
      <c r="C9" s="1931" t="s">
        <v>1266</v>
      </c>
      <c r="D9" s="1928">
        <f ca="1">IF('数据-取费表'!E3="否",结果表!I103,'结果表 (1修多)'!I104)</f>
        <v>119426</v>
      </c>
      <c r="E9" s="1921"/>
    </row>
    <row r="10" spans="1:5" ht="14.25">
      <c r="A10" s="1921"/>
      <c r="B10" s="2792"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92"/>
      <c r="C11" s="1929" t="s">
        <v>1169</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92" t="str">
        <f>IF('数据-取费表'!E3="否",结果表!F110,'结果表 (1修多)'!F111)</f>
        <v>3.房地产抵押价值</v>
      </c>
      <c r="C15" s="1922" t="str">
        <f>C7</f>
        <v>总价（元）</v>
      </c>
      <c r="D15" s="1928">
        <f ca="1">IF('数据-取费表'!E3="否",结果表!I110,'结果表 (1修多)'!I111)</f>
        <v>31240647</v>
      </c>
      <c r="E15" s="1921"/>
    </row>
    <row r="16" spans="1:5" ht="28.5">
      <c r="A16" s="1921"/>
      <c r="B16" s="2792"/>
      <c r="C16" s="1929" t="s">
        <v>1169</v>
      </c>
      <c r="D16" s="1928" t="str">
        <f ca="1">IF('数据-取费表'!B3="万元",NUMBERSTRING(INT(D15*10000),2)&amp;"元整",NUMBERSTRING(INT(D15),2)&amp;"元整")</f>
        <v>叁仟壹佰贰拾肆万零陆佰肆拾柒元整</v>
      </c>
      <c r="E16" s="1921"/>
    </row>
    <row r="17" spans="1:5" ht="14.25">
      <c r="A17" s="1921"/>
      <c r="B17" s="2792"/>
      <c r="C17" s="1931" t="s">
        <v>1266</v>
      </c>
      <c r="D17" s="1928">
        <f ca="1">IF('数据-取费表'!E3="否",结果表!I111,'结果表 (1修多)'!I112)</f>
        <v>119426</v>
      </c>
      <c r="E17" s="1921"/>
    </row>
    <row r="18" spans="1:5" ht="14.25">
      <c r="A18" s="1921"/>
      <c r="B18" s="2792" t="str">
        <f>IF('数据-取费表'!E3="否",结果表!F112,'结果表 (1修多)'!F113)</f>
        <v>——</v>
      </c>
      <c r="C18" s="1922" t="str">
        <f>C7</f>
        <v>总价（元）</v>
      </c>
      <c r="D18" s="1928" t="str">
        <f>IF('数据-取费表'!E3="否",结果表!I112,'结果表 (1修多)'!I113)</f>
        <v>——</v>
      </c>
      <c r="E18" s="1921"/>
    </row>
    <row r="19" spans="1:5" ht="14.25">
      <c r="A19" s="1921"/>
      <c r="B19" s="2792"/>
      <c r="C19" s="1929" t="s">
        <v>1169</v>
      </c>
      <c r="D19" s="1928" t="e">
        <f>IF('数据-取费表'!B3="万元",NUMBERSTRING(INT(D18*10000),2)&amp;"元整",NUMBERSTRING(INT(D18),2)&amp;"元整")</f>
        <v>#VALUE!</v>
      </c>
      <c r="E19" s="1921"/>
    </row>
    <row r="20" spans="1:5" ht="14.25">
      <c r="A20" s="1921"/>
      <c r="B20" s="2792"/>
      <c r="C20" s="1931" t="s">
        <v>1266</v>
      </c>
      <c r="D20" s="1928" t="str">
        <f>IF('数据-取费表'!E3="否",结果表!I113,'结果表 (1修多)'!I114)</f>
        <v>——</v>
      </c>
      <c r="E20" s="1921"/>
    </row>
    <row r="21" spans="1:5" ht="14.25">
      <c r="A21" s="1921"/>
      <c r="B21" s="2785" t="str">
        <f>IF('数据-取费表'!E3="否",结果表!F114,'结果表 (1修多)'!F115)</f>
        <v>——</v>
      </c>
      <c r="C21" s="1927" t="str">
        <f>C7</f>
        <v>总价（元）</v>
      </c>
      <c r="D21" s="1928" t="str">
        <f>IF('数据-取费表'!E3="否",结果表!I114,'结果表 (1修多)'!I115)</f>
        <v>——</v>
      </c>
      <c r="E21" s="1921"/>
    </row>
    <row r="22" spans="1:5" ht="14.25">
      <c r="A22" s="1921"/>
      <c r="B22" s="2785"/>
      <c r="C22" s="1929" t="s">
        <v>1169</v>
      </c>
      <c r="D22" s="1930" t="e">
        <f>IF('数据-取费表'!B3="万元",NUMBERSTRING(INT(D21*10000),2)&amp;"元整",NUMBERSTRING(INT(D21),2)&amp;"元整")</f>
        <v>#VALUE!</v>
      </c>
      <c r="E22" s="1921"/>
    </row>
    <row r="23" spans="1:5" ht="15" thickBot="1">
      <c r="A23" s="1921"/>
      <c r="B23" s="2786"/>
      <c r="C23" s="1936" t="s">
        <v>1266</v>
      </c>
      <c r="D23" s="1937" t="str">
        <f ca="1">IF('数据-取费表'!E3="否",结果表!I115,'结果表 (1修多)'!I116)</f>
        <v>——</v>
      </c>
      <c r="E23" s="1921"/>
    </row>
    <row r="24" spans="1:5" ht="14.25" thickTop="1">
      <c r="A24" s="1921"/>
      <c r="B24" s="1921"/>
      <c r="C24" s="1921"/>
      <c r="D24" s="1921"/>
      <c r="E24" s="1921"/>
    </row>
    <row r="25" spans="1:5" ht="18.75" customHeight="1" thickBot="1">
      <c r="A25" s="1921"/>
      <c r="B25" s="2800" t="s">
        <v>1267</v>
      </c>
      <c r="C25" s="2800"/>
      <c r="D25" s="2800"/>
      <c r="E25" s="1921"/>
    </row>
    <row r="26" spans="1:5" ht="18.75" customHeight="1" thickTop="1">
      <c r="A26" s="1921"/>
      <c r="B26" s="2803" t="s">
        <v>1168</v>
      </c>
      <c r="C26" s="2804"/>
      <c r="D26" s="2801" t="s">
        <v>1167</v>
      </c>
      <c r="E26" s="1921"/>
    </row>
    <row r="27" spans="1:5" ht="18.75" customHeight="1">
      <c r="A27" s="1921"/>
      <c r="B27" s="2805"/>
      <c r="C27" s="2806"/>
      <c r="D27" s="2802"/>
      <c r="E27" s="1921"/>
    </row>
    <row r="28" spans="1:5" ht="14.25">
      <c r="A28" s="1921"/>
      <c r="B28" s="2793" t="s">
        <v>780</v>
      </c>
      <c r="C28" s="1938" t="s">
        <v>1170</v>
      </c>
      <c r="D28" s="1939">
        <f ca="1">IF('数据-取费表'!E3="否",结果表!I102,'结果表 (1修多)'!I103)</f>
        <v>31240647</v>
      </c>
      <c r="E28" s="1921"/>
    </row>
    <row r="29" spans="1:5" ht="28.5">
      <c r="A29" s="1921"/>
      <c r="B29" s="2794"/>
      <c r="C29" s="1940" t="s">
        <v>1169</v>
      </c>
      <c r="D29" s="1941" t="str">
        <f ca="1">IF('数据-取费表'!B3="万元",NUMBERSTRING(INT(D28*10000),2)&amp;"元整",NUMBERSTRING(INT(D28),2)&amp;"元整")</f>
        <v>叁仟壹佰贰拾肆万零陆佰肆拾柒元整</v>
      </c>
      <c r="E29" s="1921"/>
    </row>
    <row r="30" spans="1:5" ht="14.25">
      <c r="A30" s="1921"/>
      <c r="B30" s="2795"/>
      <c r="C30" s="1931" t="s">
        <v>1172</v>
      </c>
      <c r="D30" s="1942">
        <f ca="1">IF('数据-取费表'!E3="否",结果表!I103,'结果表 (1修多)'!I104)</f>
        <v>119426</v>
      </c>
      <c r="E30" s="1921"/>
    </row>
    <row r="31" spans="1:5" ht="14.25">
      <c r="A31" s="1921"/>
      <c r="B31" s="2798" t="str">
        <f>B10</f>
        <v>2.估价师所知悉的法定优先受偿款</v>
      </c>
      <c r="C31" s="1943" t="s">
        <v>1171</v>
      </c>
      <c r="D31" s="1944">
        <f>IF('数据-取费表'!E3="否",结果表!I105,'结果表 (1修多)'!I106)</f>
        <v>0</v>
      </c>
      <c r="E31" s="1921"/>
    </row>
    <row r="32" spans="1:5" ht="14.25">
      <c r="A32" s="1921"/>
      <c r="B32" s="2807"/>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96" t="str">
        <f>B15</f>
        <v>3.房地产抵押价值</v>
      </c>
      <c r="C36" s="1943" t="str">
        <f>C28</f>
        <v>总价</v>
      </c>
      <c r="D36" s="1944">
        <f ca="1">IF('数据-取费表'!E3="否",结果表!I110,'结果表 (1修多)'!I111)</f>
        <v>31240647</v>
      </c>
      <c r="E36" s="1921"/>
    </row>
    <row r="37" spans="1:5" ht="28.5">
      <c r="A37" s="1921"/>
      <c r="B37" s="2796"/>
      <c r="C37" s="1940" t="s">
        <v>1169</v>
      </c>
      <c r="D37" s="1945" t="str">
        <f ca="1">IF('数据-取费表'!B3="万元",NUMBERSTRING(INT(D36*10000),2)&amp;"元整",NUMBERSTRING(INT(D36),2)&amp;"元整")</f>
        <v>叁仟壹佰贰拾肆万零陆佰肆拾柒元整</v>
      </c>
      <c r="E37" s="1921"/>
    </row>
    <row r="38" spans="1:5" ht="14.25">
      <c r="A38" s="1921"/>
      <c r="B38" s="2796"/>
      <c r="C38" s="1931" t="s">
        <v>1173</v>
      </c>
      <c r="D38" s="1942">
        <f ca="1">IF('数据-取费表'!E3="否",结果表!D113,'结果表 (1修多)'!D116)</f>
        <v>119426</v>
      </c>
      <c r="E38" s="1921"/>
    </row>
    <row r="39" spans="1:5" ht="14.25">
      <c r="A39" s="1921"/>
      <c r="B39" s="2797" t="str">
        <f>B18</f>
        <v>——</v>
      </c>
      <c r="C39" s="1943" t="str">
        <f>C28</f>
        <v>总价</v>
      </c>
      <c r="D39" s="1944" t="str">
        <f>IF('数据-取费表'!E3="否",结果表!I112,'结果表 (1修多)'!I113)</f>
        <v>——</v>
      </c>
      <c r="E39" s="1921"/>
    </row>
    <row r="40" spans="1:5" ht="14.25">
      <c r="A40" s="1921"/>
      <c r="B40" s="2797"/>
      <c r="C40" s="1940" t="s">
        <v>1169</v>
      </c>
      <c r="D40" s="1945" t="e">
        <f>IF('数据-取费表'!B3="万元",NUMBERSTRING(INT(D39*10000),2)&amp;"元整",NUMBERSTRING(INT(D39),2)&amp;"元整")</f>
        <v>#VALUE!</v>
      </c>
      <c r="E40" s="1921"/>
    </row>
    <row r="41" spans="1:5" ht="14.25">
      <c r="A41" s="1921"/>
      <c r="B41" s="2797"/>
      <c r="C41" s="1931" t="s">
        <v>1173</v>
      </c>
      <c r="D41" s="1942" t="str">
        <f>IF('数据-取费表'!E3="否",结果表!D115,'结果表 (1修多)'!D118)</f>
        <v>——</v>
      </c>
      <c r="E41" s="1921"/>
    </row>
    <row r="42" spans="1:5" ht="14.25">
      <c r="A42" s="1921"/>
      <c r="B42" s="2796" t="str">
        <f>B21</f>
        <v>——</v>
      </c>
      <c r="C42" s="1943" t="str">
        <f>C28</f>
        <v>总价</v>
      </c>
      <c r="D42" s="1944" t="str">
        <f>IF('数据-取费表'!E3="否",结果表!I114,'结果表 (1修多)'!I115)</f>
        <v>——</v>
      </c>
      <c r="E42" s="1921"/>
    </row>
    <row r="43" spans="1:5" ht="14.25">
      <c r="A43" s="1921"/>
      <c r="B43" s="2798"/>
      <c r="C43" s="1940" t="s">
        <v>1169</v>
      </c>
      <c r="D43" s="1946" t="e">
        <f>IF('数据-取费表'!B3="万元",NUMBERSTRING(INT(D42*10000),2)&amp;"元整",NUMBERSTRING(INT(D42),2)&amp;"元整")</f>
        <v>#VALUE!</v>
      </c>
      <c r="E43" s="1921"/>
    </row>
    <row r="44" spans="1:5" ht="15" thickBot="1">
      <c r="A44" s="1921"/>
      <c r="B44" s="2799"/>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14" t="str">
        <f>IF(项目基本情况!D5="房地产市场价值","估价结果一览表","结果表-2")</f>
        <v>结果表-2</v>
      </c>
      <c r="B1" s="2814"/>
      <c r="C1" s="2814"/>
      <c r="D1" s="2814"/>
      <c r="E1" s="2814"/>
      <c r="F1" s="2814"/>
      <c r="G1" s="2814"/>
      <c r="H1" s="2814"/>
      <c r="I1" s="2814"/>
    </row>
    <row r="2" spans="1:9" ht="30" customHeight="1" thickTop="1">
      <c r="A2" s="2815" t="s">
        <v>1268</v>
      </c>
      <c r="B2" s="2815" t="s">
        <v>1269</v>
      </c>
      <c r="C2" s="2815" t="s">
        <v>1270</v>
      </c>
      <c r="D2" s="2815" t="str">
        <f>IF('数据-取费表'!E3="否",结果表!D119,'结果表 (1修多)'!D122)</f>
        <v>出让国有建设用地使用权价值</v>
      </c>
      <c r="E2" s="2815"/>
      <c r="F2" s="2815" t="s">
        <v>1271</v>
      </c>
      <c r="G2" s="2815"/>
      <c r="H2" s="2815" t="s">
        <v>1272</v>
      </c>
      <c r="I2" s="2815"/>
    </row>
    <row r="3" spans="1:9" ht="15">
      <c r="A3" s="2810"/>
      <c r="B3" s="2810"/>
      <c r="C3" s="2810"/>
      <c r="D3" s="1044" t="s">
        <v>1273</v>
      </c>
      <c r="E3" s="1044" t="s">
        <v>1274</v>
      </c>
      <c r="F3" s="1044" t="s">
        <v>1273</v>
      </c>
      <c r="G3" s="1044" t="s">
        <v>1275</v>
      </c>
      <c r="H3" s="1044" t="s">
        <v>1273</v>
      </c>
      <c r="I3" s="1044" t="s">
        <v>1275</v>
      </c>
    </row>
    <row r="4" spans="1:9" ht="46.5" customHeight="1">
      <c r="A4" s="1044" t="str">
        <f>项目基本情况!I1</f>
        <v>北京市房地产</v>
      </c>
      <c r="B4" s="1044">
        <f>结果表!B121</f>
        <v>261.58999999999997</v>
      </c>
      <c r="C4" s="1044">
        <f>结果表!C121</f>
        <v>0</v>
      </c>
      <c r="D4" s="1044">
        <f ca="1">IF('数据-取费表'!E3="否",结果表!D121,'结果表 (1修多)'!D124)</f>
        <v>28772546</v>
      </c>
      <c r="E4" s="1044">
        <f ca="1">IF('数据-取费表'!E3="否",结果表!E121,'结果表 (1修多)'!E124)</f>
        <v>109991</v>
      </c>
      <c r="F4" s="1044">
        <f ca="1">IF('数据-取费表'!E3="否",结果表!F121,'结果表 (1修多)'!F124)</f>
        <v>2468102</v>
      </c>
      <c r="G4" s="1044">
        <f ca="1">IF('数据-取费表'!E3="否",结果表!G121,'结果表 (1修多)'!G124)</f>
        <v>9435</v>
      </c>
      <c r="H4" s="1044">
        <f ca="1">IF('数据-取费表'!E3="否",结果表!H121,'结果表 (1修多)'!H124)</f>
        <v>31240647</v>
      </c>
      <c r="I4" s="1044">
        <f ca="1">IF('数据-取费表'!E3="否",结果表!I121,'结果表 (1修多)'!I124)</f>
        <v>119426</v>
      </c>
    </row>
    <row r="5" spans="1:9" ht="15">
      <c r="A5" s="2810" t="s">
        <v>1276</v>
      </c>
      <c r="B5" s="2810"/>
      <c r="C5" s="2810"/>
      <c r="D5" s="2808" t="str">
        <f ca="1">IF('数据-取费表'!E3="否",结果表!D122,'结果表 (1修多)'!D125)</f>
        <v>贰仟捌佰柒拾柒万贰仟伍佰肆拾陆元整</v>
      </c>
      <c r="E5" s="2808"/>
      <c r="F5" s="2808" t="str">
        <f ca="1">IF('数据-取费表'!E3="否",结果表!F122,'结果表 (1修多)'!F125)</f>
        <v>贰佰肆拾陆万捌仟壹佰零贰元整</v>
      </c>
      <c r="G5" s="2808"/>
      <c r="H5" s="2808" t="str">
        <f ca="1">IF('数据-取费表'!E3="否",结果表!H122,'结果表 (1修多)'!H125)</f>
        <v>叁仟壹佰贰拾肆万零陆佰肆拾柒元整</v>
      </c>
      <c r="I5" s="2808"/>
    </row>
    <row r="6" spans="1:9" ht="15.75">
      <c r="A6" s="2809" t="str">
        <f>IF('数据-取费表'!E3="否",结果表!A123,'结果表 (1修多)'!A126)</f>
        <v>估价师所知悉的法定优先受偿款</v>
      </c>
      <c r="B6" s="2809"/>
      <c r="C6" s="2809"/>
      <c r="D6" s="2809">
        <f>IF('数据-取费表'!E3="否",结果表!D123,'结果表 (1修多)'!D126)</f>
        <v>0</v>
      </c>
      <c r="E6" s="2809"/>
      <c r="F6" s="2809"/>
      <c r="G6" s="2809"/>
      <c r="H6" s="2809"/>
      <c r="I6" s="2809"/>
    </row>
    <row r="7" spans="1:9" ht="15">
      <c r="A7" s="2810" t="s">
        <v>1276</v>
      </c>
      <c r="B7" s="2810"/>
      <c r="C7" s="2810"/>
      <c r="D7" s="2811">
        <f>IF('数据-取费表'!E3="否",结果表!D124,'结果表 (1修多)'!D127)</f>
        <v>0</v>
      </c>
      <c r="E7" s="2812"/>
      <c r="F7" s="2812"/>
      <c r="G7" s="2812"/>
      <c r="H7" s="2812"/>
      <c r="I7" s="2813"/>
    </row>
    <row r="8" spans="1:9" ht="15.75">
      <c r="A8" s="2809" t="str">
        <f>IF('数据-取费表'!E3="否",结果表!A125,'结果表 (1修多)'!A128)</f>
        <v>房地产抵押价值</v>
      </c>
      <c r="B8" s="2809"/>
      <c r="C8" s="2809"/>
      <c r="D8" s="2809">
        <f ca="1">IF('数据-取费表'!E3="否",结果表!D125,'结果表 (1修多)'!D128)</f>
        <v>31240647</v>
      </c>
      <c r="E8" s="2809"/>
      <c r="F8" s="2809"/>
      <c r="G8" s="2809"/>
      <c r="H8" s="2809"/>
      <c r="I8" s="2809"/>
    </row>
    <row r="9" spans="1:9" ht="15">
      <c r="A9" s="2810" t="s">
        <v>1276</v>
      </c>
      <c r="B9" s="2810"/>
      <c r="C9" s="2810"/>
      <c r="D9" s="2808">
        <f ca="1">IF('数据-取费表'!E3="否",结果表!D126,'结果表 (1修多)'!D129)</f>
        <v>119426</v>
      </c>
      <c r="E9" s="2808"/>
      <c r="F9" s="2808"/>
      <c r="G9" s="2808"/>
      <c r="H9" s="2808"/>
      <c r="I9" s="2808"/>
    </row>
    <row r="10" spans="1:9" ht="15.75">
      <c r="A10" s="2809" t="str">
        <f>IF('数据-取费表'!E3="否",结果表!A127,'结果表 (1修多)'!A130)</f>
        <v/>
      </c>
      <c r="B10" s="2809"/>
      <c r="C10" s="2809"/>
      <c r="D10" s="2809" t="str">
        <f>IF('数据-取费表'!E3="否",结果表!D127,'结果表 (1修多)'!D129)</f>
        <v>——</v>
      </c>
      <c r="E10" s="2809"/>
      <c r="F10" s="2809"/>
      <c r="G10" s="2809"/>
      <c r="H10" s="2809"/>
      <c r="I10" s="2809"/>
    </row>
    <row r="11" spans="1:9" ht="15">
      <c r="A11" s="2810" t="s">
        <v>1276</v>
      </c>
      <c r="B11" s="2810"/>
      <c r="C11" s="2810"/>
      <c r="D11" s="2808" t="str">
        <f>IF('数据-取费表'!E3="否",结果表!D128,'结果表 (1修多)'!D131)</f>
        <v>——</v>
      </c>
      <c r="E11" s="2808"/>
      <c r="F11" s="2808"/>
      <c r="G11" s="2808"/>
      <c r="H11" s="2808"/>
      <c r="I11" s="2808"/>
    </row>
    <row r="12" spans="1:9" ht="15.75">
      <c r="A12" s="2809" t="str">
        <f>IF('数据-取费表'!E3="否",结果表!A129,'结果表 (1修多)'!A132)</f>
        <v/>
      </c>
      <c r="B12" s="2809"/>
      <c r="C12" s="2809"/>
      <c r="D12" s="2809" t="str">
        <f>IF('数据-取费表'!E3="否",结果表!D129,'结果表 (1修多)'!D132)</f>
        <v>——</v>
      </c>
      <c r="E12" s="2809"/>
      <c r="F12" s="2809"/>
      <c r="G12" s="2809"/>
      <c r="H12" s="2809"/>
      <c r="I12" s="2809"/>
    </row>
    <row r="13" spans="1:9" ht="15.75" thickBot="1">
      <c r="A13" s="2816" t="s">
        <v>1276</v>
      </c>
      <c r="B13" s="2816"/>
      <c r="C13" s="2816"/>
      <c r="D13" s="2817">
        <f>IF('数据-取费表'!E3="否",结果表!D130,'结果表 (1修多)'!D133)</f>
        <v>0</v>
      </c>
      <c r="E13" s="2817"/>
      <c r="F13" s="2817"/>
      <c r="G13" s="2817"/>
      <c r="H13" s="2817"/>
      <c r="I13" s="2817"/>
    </row>
    <row r="14" spans="1:9" ht="15" thickTop="1">
      <c r="A14" s="2818" t="str">
        <f>IF('数据-取费表'!E3="否",结果表!A131,'结果表 (1修多)'!A134)</f>
        <v>单位：平方米、元、元/平方米（币种：人民币）</v>
      </c>
      <c r="B14" s="2818"/>
      <c r="C14" s="2818"/>
      <c r="D14" s="2818"/>
      <c r="E14" s="2818"/>
      <c r="F14" s="2818"/>
      <c r="G14" s="2818"/>
      <c r="H14" s="2818"/>
      <c r="I14" s="2818"/>
    </row>
    <row r="15" spans="1:9">
      <c r="A15" s="714"/>
      <c r="B15" s="714"/>
      <c r="C15" s="714"/>
      <c r="D15" s="714"/>
      <c r="E15" s="714"/>
      <c r="F15" s="714"/>
      <c r="G15" s="714"/>
      <c r="H15" s="714"/>
      <c r="I15" s="714"/>
    </row>
    <row r="16" spans="1:9" ht="18.75">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23" t="s">
        <v>1290</v>
      </c>
      <c r="B1" s="2823"/>
      <c r="C1" s="2823"/>
      <c r="D1" s="2823"/>
    </row>
    <row r="2" spans="1:4" ht="18">
      <c r="A2" s="2822" t="s">
        <v>1278</v>
      </c>
      <c r="B2" s="2822"/>
      <c r="C2" s="2822"/>
      <c r="D2" s="2822"/>
    </row>
    <row r="3" spans="1:4" ht="18.75">
      <c r="A3" s="1950" t="s">
        <v>1279</v>
      </c>
      <c r="B3" s="1950" t="s">
        <v>1280</v>
      </c>
      <c r="C3" s="1950" t="s">
        <v>1281</v>
      </c>
      <c r="D3" s="1950" t="s">
        <v>1282</v>
      </c>
    </row>
    <row r="4" spans="1:4" ht="56.25" customHeight="1">
      <c r="A4" s="1951" t="str">
        <f>项目基本情况!B3</f>
        <v>郑燚</v>
      </c>
      <c r="B4" s="1952">
        <f ca="1">项目基本情况!C3</f>
        <v>1120070131</v>
      </c>
      <c r="C4" s="1953"/>
      <c r="D4" s="1954" t="s">
        <v>1291</v>
      </c>
    </row>
    <row r="5" spans="1:4" ht="56.25" customHeight="1">
      <c r="A5" s="1951" t="str">
        <f>项目基本情况!D3</f>
        <v>崔锴</v>
      </c>
      <c r="B5" s="1952">
        <f ca="1">项目基本情况!E3</f>
        <v>1120100036</v>
      </c>
      <c r="C5" s="1955"/>
      <c r="D5" s="1954" t="s">
        <v>1291</v>
      </c>
    </row>
    <row r="6" spans="1:4" ht="12" customHeight="1">
      <c r="A6" s="1951"/>
      <c r="B6" s="1952"/>
      <c r="C6" s="1956"/>
      <c r="D6" s="1954"/>
    </row>
    <row r="7" spans="1:4" ht="18">
      <c r="A7" s="2822" t="s">
        <v>1283</v>
      </c>
      <c r="B7" s="2822"/>
      <c r="C7" s="2822"/>
      <c r="D7" s="2822"/>
    </row>
    <row r="8" spans="1:4" ht="18.75">
      <c r="A8" s="1950" t="s">
        <v>1279</v>
      </c>
      <c r="B8" s="1952" t="s">
        <v>1284</v>
      </c>
      <c r="C8" s="1950" t="s">
        <v>1281</v>
      </c>
      <c r="D8" s="1950" t="s">
        <v>1282</v>
      </c>
    </row>
    <row r="9" spans="1:4" ht="56.25" customHeight="1">
      <c r="A9" s="1957" t="s">
        <v>781</v>
      </c>
      <c r="B9" s="1957" t="s">
        <v>782</v>
      </c>
      <c r="C9" s="1953"/>
      <c r="D9" s="1954" t="s">
        <v>1291</v>
      </c>
    </row>
    <row r="11" spans="1:4" ht="18.75">
      <c r="A11" s="1958" t="s">
        <v>1285</v>
      </c>
    </row>
    <row r="12" spans="1:4" ht="30" customHeight="1">
      <c r="A12" s="2819" t="s">
        <v>1292</v>
      </c>
      <c r="B12" s="2821"/>
      <c r="C12" s="2821"/>
      <c r="D12" s="2821"/>
    </row>
    <row r="13" spans="1:4" ht="15.75">
      <c r="A13" s="281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1"/>
      <c r="C13" s="2821"/>
      <c r="D13" s="2821"/>
    </row>
    <row r="14" spans="1:4" ht="30" customHeight="1">
      <c r="A14" s="281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1"/>
      <c r="C14" s="2821"/>
      <c r="D14" s="2821"/>
    </row>
    <row r="15" spans="1:4" ht="15.75" customHeight="1">
      <c r="A15" s="2819" t="str">
        <f>IF(项目基本情况!D4="抵押","4.本次评估估价师所知悉的法定优先受偿款情况说明如下：","——")</f>
        <v>4.本次评估估价师所知悉的法定优先受偿款情况说明如下：</v>
      </c>
      <c r="B15" s="2821"/>
      <c r="C15" s="2821"/>
      <c r="D15" s="2821"/>
    </row>
    <row r="16" spans="1:4" ht="75" customHeight="1">
      <c r="A16" s="2819"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19"/>
      <c r="C16" s="2819"/>
      <c r="D16" s="2819"/>
    </row>
    <row r="17" spans="1:4" ht="63.75" customHeight="1">
      <c r="A17" s="2820" t="s">
        <v>1293</v>
      </c>
      <c r="B17" s="2820"/>
      <c r="C17" s="2820"/>
      <c r="D17" s="2820"/>
    </row>
    <row r="18" spans="1:4" ht="15.75" customHeight="1">
      <c r="A18" s="2819" t="str">
        <f>IF(项目基本情况!D4="抵押",结果表!K106,"——")</f>
        <v>本次评估不存在估价师所知悉的法定优先受偿款。</v>
      </c>
      <c r="B18" s="2819"/>
      <c r="C18" s="2819"/>
      <c r="D18" s="2819"/>
    </row>
    <row r="19" spans="1:4" ht="46.5" customHeight="1">
      <c r="A19" s="281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9"/>
      <c r="C19" s="2819"/>
      <c r="D19" s="2819"/>
    </row>
    <row r="20" spans="1:4" ht="15">
      <c r="A20" s="2820" t="s">
        <v>1286</v>
      </c>
      <c r="B20" s="2820"/>
      <c r="C20" s="2820"/>
      <c r="D20" s="2820"/>
    </row>
    <row r="21" spans="1:4">
      <c r="A21" s="1959"/>
      <c r="B21" s="1285"/>
      <c r="C21" s="1285"/>
      <c r="D21" s="1285"/>
    </row>
    <row r="22" spans="1:4">
      <c r="A22" s="1959"/>
      <c r="B22" s="1285"/>
      <c r="C22" s="1285"/>
      <c r="D22" s="1285"/>
    </row>
    <row r="23" spans="1:4" ht="18.75">
      <c r="A23" s="1920" t="s">
        <v>1287</v>
      </c>
    </row>
    <row r="24" spans="1:4" ht="18">
      <c r="A24" s="1920"/>
    </row>
    <row r="25" spans="1:4" ht="18.75">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4"/>
  </cols>
  <sheetData>
    <row r="1" spans="1:7" s="1949" customFormat="1" ht="18.75">
      <c r="A1" s="712" t="s">
        <v>1360</v>
      </c>
    </row>
    <row r="3" spans="1:7" ht="14.25">
      <c r="A3" s="1966" t="s">
        <v>1361</v>
      </c>
      <c r="B3" s="714" t="s">
        <v>1362</v>
      </c>
      <c r="G3" s="1967"/>
    </row>
    <row r="4" spans="1:7">
      <c r="G4" s="1967"/>
    </row>
    <row r="5" spans="1:7" ht="14.25">
      <c r="A5" s="1969" t="s">
        <v>1363</v>
      </c>
      <c r="B5" s="714" t="s">
        <v>1364</v>
      </c>
      <c r="G5" s="1967"/>
    </row>
    <row r="6" spans="1:7">
      <c r="G6" s="1967"/>
    </row>
    <row r="7" spans="1:7" ht="14.25">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25">
      <c r="A15" s="2829" t="s">
        <v>1372</v>
      </c>
      <c r="B15" s="2824" t="s">
        <v>1373</v>
      </c>
      <c r="C15" s="2825"/>
    </row>
    <row r="16" spans="1:7" ht="14.25">
      <c r="A16" s="2830"/>
      <c r="B16" s="2824" t="s">
        <v>1374</v>
      </c>
      <c r="C16" s="2825"/>
    </row>
    <row r="17" spans="1:3" ht="14.25">
      <c r="A17" s="2830"/>
      <c r="B17" s="2824" t="s">
        <v>1375</v>
      </c>
      <c r="C17" s="2825"/>
    </row>
    <row r="18" spans="1:3" ht="14.25">
      <c r="A18" s="2831"/>
      <c r="B18" s="2826" t="s">
        <v>1376</v>
      </c>
      <c r="C18" s="2825"/>
    </row>
    <row r="19" spans="1:3" ht="14.25">
      <c r="A19" s="1974" t="s">
        <v>1377</v>
      </c>
      <c r="B19" s="1975"/>
      <c r="C19" s="1976"/>
    </row>
    <row r="20" spans="1:3" ht="14.25">
      <c r="A20" s="2827" t="s">
        <v>1378</v>
      </c>
      <c r="B20" s="2826" t="s">
        <v>1379</v>
      </c>
      <c r="C20" s="2825"/>
    </row>
    <row r="21" spans="1:3" ht="14.25">
      <c r="A21" s="2827"/>
      <c r="B21" s="2826" t="s">
        <v>1380</v>
      </c>
      <c r="C21" s="2825"/>
    </row>
    <row r="22" spans="1:3" ht="14.25">
      <c r="A22" s="2827"/>
      <c r="B22" s="2826" t="s">
        <v>1381</v>
      </c>
      <c r="C22" s="2825"/>
    </row>
    <row r="23" spans="1:3" ht="14.25">
      <c r="A23" s="2827"/>
      <c r="B23" s="2828" t="s">
        <v>1382</v>
      </c>
      <c r="C23" s="1977" t="s">
        <v>1383</v>
      </c>
    </row>
    <row r="24" spans="1:3" ht="14.25">
      <c r="A24" s="2827"/>
      <c r="B24" s="2828"/>
      <c r="C24" s="1977" t="s">
        <v>1384</v>
      </c>
    </row>
    <row r="25" spans="1:3" ht="14.25">
      <c r="A25" s="2827"/>
      <c r="B25" s="2828"/>
      <c r="C25" s="1977" t="s">
        <v>1385</v>
      </c>
    </row>
    <row r="26" spans="1:3" ht="14.25">
      <c r="A26" s="2827"/>
      <c r="B26" s="2828"/>
      <c r="C26" s="1977" t="s">
        <v>1386</v>
      </c>
    </row>
    <row r="27" spans="1:3" ht="14.25">
      <c r="A27" s="2827"/>
      <c r="B27" s="2828"/>
      <c r="C27" s="1977" t="s">
        <v>1387</v>
      </c>
    </row>
    <row r="28" spans="1:3" ht="14.25">
      <c r="A28" s="2827"/>
      <c r="B28" s="2828"/>
      <c r="C28" s="1977" t="s">
        <v>1388</v>
      </c>
    </row>
    <row r="29" spans="1:3" ht="14.25">
      <c r="A29" s="2827"/>
      <c r="B29" s="2828"/>
      <c r="C29" s="1977" t="s">
        <v>1389</v>
      </c>
    </row>
    <row r="30" spans="1:3" ht="14.25">
      <c r="A30" s="2827"/>
      <c r="B30" s="2828"/>
      <c r="C30" s="1977" t="s">
        <v>1390</v>
      </c>
    </row>
    <row r="31" spans="1:3" ht="14.25">
      <c r="A31" s="2827"/>
      <c r="B31" s="2828"/>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43889</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1">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1">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2806</v>
      </c>
      <c r="B14" s="1026">
        <f ca="1">IF(C14&lt;B2,"已过期",1120040230)</f>
        <v>1120040230</v>
      </c>
      <c r="C14" s="2711">
        <v>44864</v>
      </c>
      <c r="D14" s="1807" t="str">
        <f t="shared" ca="1" si="0"/>
        <v>苏海（注册号：1120040230）</v>
      </c>
      <c r="E14" s="2712" t="s">
        <v>2806</v>
      </c>
      <c r="F14" s="1026">
        <f ca="1">IF(G14&lt;B2,"已过期",98030020)</f>
        <v>98030020</v>
      </c>
      <c r="G14" s="1034">
        <v>47118</v>
      </c>
      <c r="H14" s="1808" t="str">
        <f t="shared" ca="1" si="1"/>
        <v>苏海（注册号：98030020）</v>
      </c>
    </row>
    <row r="15" spans="1:8" ht="24" customHeight="1">
      <c r="A15" s="1809"/>
      <c r="B15" s="1026"/>
      <c r="C15" s="2711"/>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2"/>
      <c r="F17" s="1026"/>
      <c r="G17" s="1034"/>
      <c r="H17" s="1808" t="str">
        <f t="shared" si="1"/>
        <v>（注册号：）</v>
      </c>
    </row>
    <row r="18" spans="1:8" ht="24" customHeight="1">
      <c r="A18" s="1805" t="s">
        <v>2821</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2823</v>
      </c>
      <c r="B23" s="1026">
        <v>1119980106</v>
      </c>
      <c r="C23" s="2711">
        <v>43916</v>
      </c>
      <c r="D23" s="1807" t="str">
        <f t="shared" si="0"/>
        <v>刘俊财（注册号：1119980106）</v>
      </c>
      <c r="E23" s="1805" t="s">
        <v>2823</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32" t="s">
        <v>764</v>
      </c>
      <c r="B25" s="2832"/>
      <c r="C25" s="2832"/>
      <c r="D25" s="2832"/>
      <c r="E25" s="2832"/>
      <c r="F25" s="2832"/>
      <c r="G25" s="2832"/>
      <c r="H25" s="2832"/>
    </row>
    <row r="26" spans="1:8" s="1029" customFormat="1" ht="24" customHeight="1">
      <c r="A26" s="2833" t="s">
        <v>765</v>
      </c>
      <c r="B26" s="2833"/>
      <c r="C26" s="2833"/>
      <c r="D26" s="1057"/>
      <c r="E26" s="1057"/>
      <c r="F26" s="2833" t="s">
        <v>766</v>
      </c>
      <c r="G26" s="2833"/>
      <c r="H26" s="2833"/>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2822</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c r="A7" s="1982" t="s">
        <v>1472</v>
      </c>
      <c r="B7" s="1984" t="s">
        <v>1473</v>
      </c>
      <c r="C7" s="1983" t="s">
        <v>1474</v>
      </c>
      <c r="F7" s="7" t="s">
        <v>1475</v>
      </c>
      <c r="H7" s="7" t="s">
        <v>1476</v>
      </c>
      <c r="I7" s="7" t="s">
        <v>1477</v>
      </c>
      <c r="X7" s="1985"/>
    </row>
    <row r="8" spans="1:25">
      <c r="A8" s="1982" t="s">
        <v>1478</v>
      </c>
      <c r="B8" s="1984" t="s">
        <v>1479</v>
      </c>
      <c r="C8" s="1983" t="s">
        <v>1480</v>
      </c>
      <c r="F8" s="7" t="s">
        <v>1481</v>
      </c>
      <c r="H8" s="7" t="s">
        <v>1482</v>
      </c>
      <c r="I8" s="7" t="s">
        <v>1483</v>
      </c>
      <c r="X8" s="1985"/>
    </row>
    <row r="9" spans="1:25">
      <c r="A9" s="1982" t="s">
        <v>1484</v>
      </c>
      <c r="B9" s="1982" t="s">
        <v>1485</v>
      </c>
      <c r="C9" s="1983" t="s">
        <v>1486</v>
      </c>
      <c r="F9" s="7" t="s">
        <v>1487</v>
      </c>
      <c r="H9" s="7" t="s">
        <v>1488</v>
      </c>
    </row>
    <row r="10" spans="1:25">
      <c r="A10" s="1982" t="s">
        <v>1489</v>
      </c>
      <c r="B10" s="1982" t="s">
        <v>1490</v>
      </c>
      <c r="C10" s="1983" t="s">
        <v>1491</v>
      </c>
      <c r="F10" s="7" t="s">
        <v>13</v>
      </c>
    </row>
    <row r="11" spans="1:25">
      <c r="A11" s="1982" t="s">
        <v>1492</v>
      </c>
      <c r="B11" s="1982" t="s">
        <v>1493</v>
      </c>
      <c r="C11" s="1983" t="s">
        <v>1494</v>
      </c>
    </row>
    <row r="12" spans="1:25">
      <c r="A12" s="1982" t="s">
        <v>1495</v>
      </c>
      <c r="B12" s="1982" t="s">
        <v>1496</v>
      </c>
      <c r="C12" s="1983" t="s">
        <v>1497</v>
      </c>
    </row>
    <row r="13" spans="1:25">
      <c r="A13" s="1982" t="s">
        <v>1498</v>
      </c>
      <c r="B13" s="1982" t="s">
        <v>1499</v>
      </c>
      <c r="C13" s="1983" t="s">
        <v>1500</v>
      </c>
    </row>
    <row r="14" spans="1:25">
      <c r="A14" s="1982" t="s">
        <v>1501</v>
      </c>
      <c r="B14" s="1982" t="s">
        <v>1502</v>
      </c>
      <c r="C14" s="1983"/>
    </row>
    <row r="15" spans="1:25">
      <c r="A15" s="1982" t="s">
        <v>1503</v>
      </c>
      <c r="B15" s="1982" t="s">
        <v>1504</v>
      </c>
      <c r="C15" s="1983"/>
    </row>
    <row r="16" spans="1:25">
      <c r="A16" s="1982" t="s">
        <v>1505</v>
      </c>
      <c r="B16" s="1982" t="s">
        <v>1506</v>
      </c>
      <c r="C16" s="1983"/>
    </row>
    <row r="17" spans="1:3">
      <c r="A17" s="1982" t="s">
        <v>1507</v>
      </c>
      <c r="B17" s="1982" t="s">
        <v>1508</v>
      </c>
      <c r="C17" s="1983"/>
    </row>
    <row r="18" spans="1:3">
      <c r="A18" s="1982" t="s">
        <v>1509</v>
      </c>
      <c r="B18" s="1982" t="s">
        <v>1510</v>
      </c>
      <c r="C18" s="1983"/>
    </row>
    <row r="19" spans="1:3">
      <c r="A19" s="1982" t="s">
        <v>1511</v>
      </c>
      <c r="B19" s="1982" t="s">
        <v>1512</v>
      </c>
      <c r="C19" s="1983"/>
    </row>
    <row r="20" spans="1:3">
      <c r="A20" s="1982" t="s">
        <v>1513</v>
      </c>
      <c r="B20" s="1982" t="s">
        <v>740</v>
      </c>
      <c r="C20" s="1983"/>
    </row>
    <row r="21" spans="1:3">
      <c r="A21" s="1982" t="s">
        <v>1514</v>
      </c>
      <c r="B21" s="1982" t="s">
        <v>740</v>
      </c>
      <c r="C21" s="1983"/>
    </row>
    <row r="22" spans="1:3">
      <c r="A22" s="1982" t="s">
        <v>1515</v>
      </c>
      <c r="B22" s="1982" t="s">
        <v>740</v>
      </c>
      <c r="C22" s="1983"/>
    </row>
    <row r="23" spans="1:3">
      <c r="A23" s="1982" t="s">
        <v>1516</v>
      </c>
      <c r="B23" s="1982" t="s">
        <v>740</v>
      </c>
      <c r="C23" s="1983"/>
    </row>
    <row r="24" spans="1:3">
      <c r="A24" s="1982" t="s">
        <v>1517</v>
      </c>
      <c r="B24" s="1982" t="s">
        <v>740</v>
      </c>
      <c r="C24" s="1983"/>
    </row>
    <row r="25" spans="1:3">
      <c r="A25" s="1982" t="s">
        <v>1518</v>
      </c>
      <c r="B25" s="1982" t="s">
        <v>740</v>
      </c>
      <c r="C25" s="1983"/>
    </row>
    <row r="26" spans="1:3">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6" t="s">
        <v>1522</v>
      </c>
      <c r="B52" s="1986" t="s">
        <v>1523</v>
      </c>
      <c r="C52" s="9" t="s">
        <v>1524</v>
      </c>
      <c r="D52" s="9" t="s">
        <v>1525</v>
      </c>
    </row>
    <row r="53" spans="1:4" ht="14.25" customHeight="1">
      <c r="A53" s="283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34"/>
      <c r="B54" s="9" t="s">
        <v>1528</v>
      </c>
      <c r="C54" s="9" t="s">
        <v>1529</v>
      </c>
    </row>
    <row r="55" spans="1:4">
      <c r="A55" s="2834"/>
      <c r="B55" s="9" t="s">
        <v>1530</v>
      </c>
      <c r="C55" s="9" t="s">
        <v>1531</v>
      </c>
    </row>
    <row r="56" spans="1:4">
      <c r="A56" s="2834"/>
      <c r="B56" s="9" t="s">
        <v>1532</v>
      </c>
      <c r="C56" s="9" t="s">
        <v>1533</v>
      </c>
    </row>
    <row r="57" spans="1:4">
      <c r="A57" s="2834"/>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2019-07-15T08:24:43Z</cp:lastPrinted>
  <dcterms:created xsi:type="dcterms:W3CDTF">2015-07-13T07:17:23Z</dcterms:created>
  <dcterms:modified xsi:type="dcterms:W3CDTF">2020-02-28T07:24:14Z</dcterms:modified>
</cp:coreProperties>
</file>