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高鹏\项目\军队-河南\测算\"/>
    </mc:Choice>
  </mc:AlternateContent>
  <xr:revisionPtr revIDLastSave="0" documentId="13_ncr:1_{A2B63A17-575A-476E-AB18-244498F18054}" xr6:coauthVersionLast="47" xr6:coauthVersionMax="47" xr10:uidLastSave="{00000000-0000-0000-0000-000000000000}"/>
  <bookViews>
    <workbookView xWindow="18585" yWindow="90" windowWidth="19725" windowHeight="20775" tabRatio="899" firstSheet="13" activeTab="6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地上商业" sheetId="98" state="hidden" r:id="rId19"/>
    <sheet name="成本法地上商业 (元)" sheetId="69" state="hidden" r:id="rId20"/>
    <sheet name="假设开发法" sheetId="12" state="hidden" r:id="rId21"/>
    <sheet name="收益法 (元)" sheetId="88" r:id="rId22"/>
    <sheet name="成本法 地下商业" sheetId="99" state="hidden" r:id="rId23"/>
    <sheet name="成本法地下商业 (元)" sheetId="83" state="hidden" r:id="rId24"/>
    <sheet name="收益法 (元) 地下商业" sheetId="90" state="hidden" r:id="rId25"/>
    <sheet name="成本法 地下办公" sheetId="96" state="hidden" r:id="rId26"/>
    <sheet name="成本法地下办公 (元)" sheetId="82" state="hidden" r:id="rId27"/>
    <sheet name="收益法 (元) 地下办公" sheetId="89" state="hidden" r:id="rId28"/>
    <sheet name="成本法机械车位" sheetId="97" state="hidden" r:id="rId29"/>
    <sheet name="成本法机械车位 (元) " sheetId="85" state="hidden" r:id="rId30"/>
    <sheet name="收益法 (元)机械车位" sheetId="91" state="hidden" r:id="rId31"/>
    <sheet name="成本法车位" sheetId="95" state="hidden" r:id="rId32"/>
    <sheet name="成本法车位 (元) " sheetId="84" state="hidden" r:id="rId33"/>
    <sheet name="收益法" sheetId="15" state="hidden" r:id="rId34"/>
    <sheet name="收益法 (元)车位" sheetId="92" state="hidden" r:id="rId35"/>
    <sheet name="成本法仓储" sheetId="68" state="hidden" r:id="rId36"/>
    <sheet name="成本法车仓储 (元) " sheetId="86" state="hidden" r:id="rId37"/>
    <sheet name="收益法（元）仓储" sheetId="93" state="hidden" r:id="rId38"/>
    <sheet name="收益法 仓储" sheetId="67" state="hidden" r:id="rId39"/>
    <sheet name="收益法-酒店模型" sheetId="77" state="hidden" r:id="rId40"/>
    <sheet name="收益法（汇总）" sheetId="70" state="hidden" r:id="rId41"/>
    <sheet name="比较法-住宅" sheetId="21" r:id="rId42"/>
    <sheet name="比较法-商业" sheetId="33" state="hidden" r:id="rId43"/>
    <sheet name="比较法-办公" sheetId="34"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办公" sheetId="81" state="hidden" r:id="rId52"/>
    <sheet name="基准地价修正-商业" sheetId="43" state="hidden"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r:id="rId59"/>
    <sheet name="地价" sheetId="71" r:id="rId60"/>
    <sheet name="区片价" sheetId="44" r:id="rId61"/>
    <sheet name="存贷款利率" sheetId="73" r:id="rId62"/>
    <sheet name="案例" sheetId="100" r:id="rId63"/>
  </sheets>
  <externalReferences>
    <externalReference r:id="rId64"/>
  </externalReferences>
  <definedNames>
    <definedName name="_xlnm._FilterDatabase" localSheetId="43"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2" hidden="1">'比较法-商业'!$A$1:$L$49</definedName>
    <definedName name="_xlnm._FilterDatabase" localSheetId="41"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2">'比较法-商业'!$A$1:$K$54,'比较法-商业'!$A$57:$M$131</definedName>
    <definedName name="_xlnm.Print_Area" localSheetId="41">'比较法-住宅'!$A$1:$K$54,'比较法-住宅'!$A$57:$M$131</definedName>
    <definedName name="_xlnm.Print_Area" localSheetId="25">'成本法 地下办公'!$A$1:$G$57</definedName>
    <definedName name="_xlnm.Print_Area" localSheetId="22">'成本法 地下商业'!$A$1:$G$57</definedName>
    <definedName name="_xlnm.Print_Area" localSheetId="35">成本法仓储!$A$1:$G$57</definedName>
    <definedName name="_xlnm.Print_Area" localSheetId="36">'成本法车仓储 (元) '!$A$1:$G$57</definedName>
    <definedName name="_xlnm.Print_Area" localSheetId="31">成本法车位!$A$1:$G$57</definedName>
    <definedName name="_xlnm.Print_Area" localSheetId="32">'成本法车位 (元) '!$A$1:$G$57</definedName>
    <definedName name="_xlnm.Print_Area" localSheetId="18">成本法地上商业!$A$1:$G$57</definedName>
    <definedName name="_xlnm.Print_Area" localSheetId="19">'成本法地上商业 (元)'!$A$1:$G$57</definedName>
    <definedName name="_xlnm.Print_Area" localSheetId="26">'成本法地下办公 (元)'!$A$1:$G$57</definedName>
    <definedName name="_xlnm.Print_Area" localSheetId="23">'成本法地下商业 (元)'!$A$1:$G$57</definedName>
    <definedName name="_xlnm.Print_Area" localSheetId="28">成本法机械车位!$A$1:$G$57</definedName>
    <definedName name="_xlnm.Print_Area" localSheetId="29">'成本法机械车位 (元) '!$A$1:$G$57</definedName>
    <definedName name="_xlnm.Print_Area" localSheetId="15">估价对象房地状况!$A$1:$G$24</definedName>
    <definedName name="_xlnm.Print_Area" localSheetId="8">估价师及机构信息!$A$1:$G$22</definedName>
    <definedName name="_xlnm.Print_Area" localSheetId="50">'基准地价（汇总）'!$A$1:$E$13</definedName>
    <definedName name="_xlnm.Print_Area" localSheetId="51">'基准地价修正 -办公'!$A$1:$J$44,'基准地价修正 -办公'!$A$47:$H$101,'基准地价修正 -办公'!$R$1:$V$16</definedName>
    <definedName name="_xlnm.Print_Area" localSheetId="52">'基准地价修正-商业'!$A$1:$J$44,'基准地价修正-商业'!$A$47:$H$101,'基准地价修正-商业'!$R$1:$V$16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7">'收益法 (元) 地下办公'!$A$1:$F$43,'收益法 (元) 地下办公'!$H$3:$M$29,'收益法 (元) 地下办公'!$A$45:$F$71,'收益法 (元) 地下办公'!$I$46:$N$65</definedName>
    <definedName name="_xlnm.Print_Area" localSheetId="24">'收益法 (元) 地下商业'!$A$1:$F$43,'收益法 (元) 地下商业'!$H$3:$M$29,'收益法 (元) 地下商业'!$A$45:$F$71,'收益法 (元) 地下商业'!$I$46:$N$65</definedName>
    <definedName name="_xlnm.Print_Area" localSheetId="34">'收益法 (元)车位'!$A$1:$F$43,'收益法 (元)车位'!$H$3:$M$29,'收益法 (元)车位'!$A$45:$F$71,'收益法 (元)车位'!$I$46:$N$65</definedName>
    <definedName name="_xlnm.Print_Area" localSheetId="30">'收益法 (元)机械车位'!$A$1:$F$43,'收益法 (元)机械车位'!$H$3:$M$29,'收益法 (元)机械车位'!$A$45:$F$71,'收益法 (元)机械车位'!$I$46:$N$65</definedName>
    <definedName name="_xlnm.Print_Area" localSheetId="38">'收益法 仓储'!$A$1:$F$43,'收益法 仓储'!$H$3:$M$29,'收益法 仓储'!$A$45:$F$71,'收益法 仓储'!$I$46:$N$65</definedName>
    <definedName name="_xlnm.Print_Area" localSheetId="40">'收益法（汇总）'!$A$1:$F$13</definedName>
    <definedName name="_xlnm.Print_Area" localSheetId="37">'收益法（元）仓储'!$A$1:$F$43,'收益法（元）仓储'!$H$3:$M$29,'收益法（元）仓储'!$A$45:$F$71,'收益法（元）仓储'!$I$46:$N$65</definedName>
    <definedName name="_xlnm.Print_Area" localSheetId="13">'数据-汇总表'!$A$1:$P$32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27" i="9" l="1"/>
  <c r="F6" i="88"/>
  <c r="F8" i="88"/>
  <c r="F7" i="88"/>
  <c r="F9" i="88"/>
  <c r="C6" i="88"/>
  <c r="F4" i="73"/>
  <c r="I1" i="73"/>
  <c r="B39" i="1"/>
  <c r="F11" i="88"/>
  <c r="C10" i="88"/>
  <c r="C5" i="88"/>
  <c r="C32" i="88"/>
  <c r="C33" i="88"/>
  <c r="R6" i="1"/>
  <c r="F35" i="88"/>
  <c r="C34" i="88"/>
  <c r="C31" i="88"/>
  <c r="F43" i="88"/>
  <c r="C14" i="88"/>
  <c r="C15" i="88"/>
  <c r="F16" i="88"/>
  <c r="C16" i="88"/>
  <c r="C17" i="88"/>
  <c r="C18" i="88"/>
  <c r="C19" i="88"/>
  <c r="C20" i="88"/>
  <c r="D5" i="73"/>
  <c r="G1" i="73"/>
  <c r="B40" i="1"/>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D2" i="88"/>
  <c r="B3" i="88"/>
  <c r="C20" i="9"/>
  <c r="D20" i="9"/>
  <c r="G20" i="9"/>
  <c r="G19" i="9"/>
  <c r="I19" i="9"/>
  <c r="B2" i="88"/>
  <c r="C19" i="9"/>
  <c r="D19" i="9"/>
  <c r="G22" i="9"/>
  <c r="R18" i="100"/>
  <c r="R19" i="100"/>
  <c r="P19" i="100"/>
  <c r="Q19" i="100"/>
  <c r="O19" i="100"/>
  <c r="P18" i="100"/>
  <c r="Q18" i="100"/>
  <c r="O18" i="100"/>
  <c r="N19" i="100"/>
  <c r="N18" i="100"/>
  <c r="D14" i="74"/>
  <c r="B27" i="9"/>
  <c r="Q106" i="100"/>
  <c r="Q107" i="100"/>
  <c r="Q105" i="100"/>
  <c r="P107" i="100"/>
  <c r="P106" i="100"/>
  <c r="P105" i="100"/>
  <c r="O107" i="100"/>
  <c r="O106" i="100"/>
  <c r="O105" i="100"/>
  <c r="I33" i="21"/>
  <c r="I47" i="21"/>
  <c r="C59" i="100"/>
  <c r="P97" i="100"/>
  <c r="J97" i="100"/>
  <c r="D5" i="9"/>
  <c r="F8" i="21"/>
  <c r="AA8" i="21"/>
  <c r="C63" i="21"/>
  <c r="F9" i="21"/>
  <c r="AA9" i="21"/>
  <c r="F10" i="21"/>
  <c r="AA10" i="21"/>
  <c r="F11" i="21"/>
  <c r="AA11" i="21"/>
  <c r="B70" i="21"/>
  <c r="F12" i="21"/>
  <c r="AA12" i="21"/>
  <c r="B72" i="21"/>
  <c r="F13" i="21"/>
  <c r="AA13" i="21"/>
  <c r="D87" i="21"/>
  <c r="F25" i="21"/>
  <c r="AA25" i="21"/>
  <c r="F104" i="21"/>
  <c r="F33" i="21"/>
  <c r="AA33" i="21"/>
  <c r="R48" i="21"/>
  <c r="H104" i="21"/>
  <c r="I104" i="21"/>
  <c r="E104" i="21"/>
  <c r="D104" i="21"/>
  <c r="C104" i="21"/>
  <c r="G33" i="21"/>
  <c r="E33" i="21"/>
  <c r="C33" i="21"/>
  <c r="E59" i="21"/>
  <c r="F59" i="21"/>
  <c r="G59" i="21"/>
  <c r="H59" i="21"/>
  <c r="I59" i="21"/>
  <c r="J59" i="21"/>
  <c r="K59" i="21"/>
  <c r="L59" i="21"/>
  <c r="D59" i="21"/>
  <c r="AB26" i="100"/>
  <c r="AB25" i="100"/>
  <c r="AD24" i="100"/>
  <c r="AE24" i="100"/>
  <c r="AF24" i="100"/>
  <c r="AG24" i="100"/>
  <c r="AH24" i="100"/>
  <c r="AI24" i="100"/>
  <c r="AJ24" i="100"/>
  <c r="AC24" i="100"/>
  <c r="AD23" i="100"/>
  <c r="AE23" i="100"/>
  <c r="AF23" i="100"/>
  <c r="AG23" i="100"/>
  <c r="AH23" i="100"/>
  <c r="AI23" i="100"/>
  <c r="AJ23" i="100"/>
  <c r="AC23" i="100"/>
  <c r="G7" i="21"/>
  <c r="E7" i="21"/>
  <c r="G47" i="21"/>
  <c r="E47" i="21"/>
  <c r="C58" i="100"/>
  <c r="C57" i="100"/>
  <c r="E87" i="21"/>
  <c r="G23" i="21"/>
  <c r="I23" i="21"/>
  <c r="I19" i="21"/>
  <c r="G19" i="21"/>
  <c r="G17" i="21"/>
  <c r="I17" i="21"/>
  <c r="I15" i="21"/>
  <c r="G15" i="21"/>
  <c r="C30" i="1"/>
  <c r="B35" i="1"/>
  <c r="R9" i="100"/>
  <c r="R8" i="100"/>
  <c r="Q8" i="100"/>
  <c r="P8" i="100"/>
  <c r="P3" i="100"/>
  <c r="P4" i="100"/>
  <c r="P5" i="100"/>
  <c r="P6" i="100"/>
  <c r="P7" i="100"/>
  <c r="P2" i="100"/>
  <c r="N6" i="1"/>
  <c r="M9" i="1"/>
  <c r="B21" i="1"/>
  <c r="B23" i="1"/>
  <c r="N22" i="1"/>
  <c r="N20" i="1"/>
  <c r="C28" i="81"/>
  <c r="D3" i="4"/>
  <c r="B2" i="1"/>
  <c r="G23" i="81"/>
  <c r="C23" i="81"/>
  <c r="E15" i="4"/>
  <c r="F7" i="1"/>
  <c r="I24" i="81"/>
  <c r="G24" i="81"/>
  <c r="C24" i="81"/>
  <c r="G3" i="81"/>
  <c r="E26" i="81"/>
  <c r="G26" i="81"/>
  <c r="F26" i="81"/>
  <c r="H26" i="81"/>
  <c r="D26" i="81"/>
  <c r="C25" i="81"/>
  <c r="C17" i="81"/>
  <c r="C5" i="81"/>
  <c r="C33" i="81"/>
  <c r="E33" i="81"/>
  <c r="D5" i="81"/>
  <c r="C37" i="81"/>
  <c r="E37" i="81"/>
  <c r="C38" i="81"/>
  <c r="E38" i="81"/>
  <c r="C39" i="81"/>
  <c r="E39" i="81"/>
  <c r="C40" i="81"/>
  <c r="D40" i="81"/>
  <c r="E40" i="81"/>
  <c r="F15" i="4"/>
  <c r="G44" i="81"/>
  <c r="E44" i="81"/>
  <c r="C44" i="81"/>
  <c r="C41" i="81"/>
  <c r="D41" i="81"/>
  <c r="E41" i="81"/>
  <c r="C42" i="81"/>
  <c r="D42" i="81"/>
  <c r="E42" i="81"/>
  <c r="C30" i="81"/>
  <c r="B2" i="81"/>
  <c r="C28" i="43"/>
  <c r="G23" i="43"/>
  <c r="C23" i="43"/>
  <c r="D15" i="4"/>
  <c r="F6" i="1"/>
  <c r="F11" i="1"/>
  <c r="I24" i="43"/>
  <c r="G24" i="43"/>
  <c r="C24" i="43"/>
  <c r="C17"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D37" i="43"/>
  <c r="E37" i="43"/>
  <c r="C38" i="43"/>
  <c r="E38" i="43"/>
  <c r="C39" i="43"/>
  <c r="E39" i="43"/>
  <c r="C40" i="43"/>
  <c r="E40" i="43"/>
  <c r="E44" i="43"/>
  <c r="C44" i="43"/>
  <c r="C41" i="43"/>
  <c r="E41" i="43"/>
  <c r="C42" i="43"/>
  <c r="E42" i="43"/>
  <c r="C30" i="43"/>
  <c r="B2" i="43"/>
  <c r="G40" i="81"/>
  <c r="H40" i="81"/>
  <c r="I40" i="81"/>
  <c r="A6" i="1"/>
  <c r="A7" i="1"/>
  <c r="A8" i="1"/>
  <c r="A9" i="1"/>
  <c r="A10" i="1"/>
  <c r="A11" i="1"/>
  <c r="G1" i="99"/>
  <c r="D9" i="99"/>
  <c r="E9" i="99"/>
  <c r="C9" i="99"/>
  <c r="G24" i="6"/>
  <c r="E24" i="6"/>
  <c r="K11" i="1"/>
  <c r="F19" i="6"/>
  <c r="E19" i="6"/>
  <c r="G20" i="6"/>
  <c r="E20" i="6"/>
  <c r="G21" i="6"/>
  <c r="E21" i="6"/>
  <c r="G22" i="6"/>
  <c r="E22" i="6"/>
  <c r="G23" i="6"/>
  <c r="E23" i="6"/>
  <c r="BB13" i="3"/>
  <c r="BC13" i="3"/>
  <c r="BD13" i="3"/>
  <c r="BE13" i="3"/>
  <c r="BF13" i="3"/>
  <c r="BG13" i="3"/>
  <c r="BA13" i="3"/>
  <c r="BA5" i="3"/>
  <c r="E27" i="6"/>
  <c r="K24" i="6"/>
  <c r="S11" i="1"/>
  <c r="D10" i="99"/>
  <c r="E10" i="99"/>
  <c r="C10" i="99"/>
  <c r="C8" i="99"/>
  <c r="G37" i="43"/>
  <c r="H37" i="43"/>
  <c r="I37" i="43"/>
  <c r="C6" i="99"/>
  <c r="F7" i="99"/>
  <c r="C7" i="99"/>
  <c r="C5" i="99"/>
  <c r="C19" i="99"/>
  <c r="F20" i="99"/>
  <c r="C20" i="99"/>
  <c r="C1" i="73"/>
  <c r="J1" i="73"/>
  <c r="D6" i="73"/>
  <c r="B22" i="1"/>
  <c r="E1" i="73"/>
  <c r="K1" i="73"/>
  <c r="F22" i="99"/>
  <c r="C23" i="99"/>
  <c r="C24" i="99"/>
  <c r="C25" i="99"/>
  <c r="C22" i="99"/>
  <c r="F27" i="99"/>
  <c r="C28" i="99"/>
  <c r="C27" i="99"/>
  <c r="F21" i="99"/>
  <c r="C26" i="99"/>
  <c r="D22" i="99"/>
  <c r="C21" i="99"/>
  <c r="C29" i="99"/>
  <c r="D27" i="99"/>
  <c r="C42" i="1"/>
  <c r="F30" i="99"/>
  <c r="C30" i="99"/>
  <c r="C31" i="99"/>
  <c r="B24" i="1"/>
  <c r="F34" i="99"/>
  <c r="M11" i="1"/>
  <c r="T11" i="1"/>
  <c r="C34" i="99"/>
  <c r="F35" i="99"/>
  <c r="C35" i="99"/>
  <c r="C36" i="99"/>
  <c r="D19" i="99"/>
  <c r="D37" i="99"/>
  <c r="E37" i="99"/>
  <c r="C37" i="99"/>
  <c r="F38" i="99"/>
  <c r="C38" i="99"/>
  <c r="C33" i="99"/>
  <c r="C39" i="99"/>
  <c r="C42" i="99"/>
  <c r="C43" i="99"/>
  <c r="C41" i="99"/>
  <c r="C46" i="99"/>
  <c r="C45" i="99"/>
  <c r="C40" i="99"/>
  <c r="C44" i="99"/>
  <c r="D41" i="99"/>
  <c r="C47" i="99"/>
  <c r="D45" i="99"/>
  <c r="C48" i="99"/>
  <c r="C49" i="99"/>
  <c r="K6" i="1"/>
  <c r="M6" i="1"/>
  <c r="K7" i="1"/>
  <c r="M7" i="1"/>
  <c r="K8" i="1"/>
  <c r="M8" i="1"/>
  <c r="K9" i="1"/>
  <c r="K10" i="1"/>
  <c r="M10" i="1"/>
  <c r="K12" i="1"/>
  <c r="M12" i="1"/>
  <c r="K13" i="1"/>
  <c r="M13" i="1"/>
  <c r="K14" i="1"/>
  <c r="M14" i="1"/>
  <c r="M16" i="1"/>
  <c r="N16" i="1"/>
  <c r="F50" i="99"/>
  <c r="C51" i="99"/>
  <c r="C52" i="99"/>
  <c r="B2" i="99"/>
  <c r="B3" i="99"/>
  <c r="G1" i="90"/>
  <c r="F6" i="90"/>
  <c r="F8" i="90"/>
  <c r="F7" i="90"/>
  <c r="F9" i="90"/>
  <c r="C6" i="90"/>
  <c r="L1" i="73"/>
  <c r="F11" i="90"/>
  <c r="C10" i="90"/>
  <c r="C5" i="90"/>
  <c r="F32" i="90"/>
  <c r="C32" i="90"/>
  <c r="F33" i="90"/>
  <c r="C33" i="90"/>
  <c r="L24" i="6"/>
  <c r="M24" i="6"/>
  <c r="I24" i="6"/>
  <c r="AZ13" i="3"/>
  <c r="AZ5" i="3"/>
  <c r="H13" i="3"/>
  <c r="G13" i="3"/>
  <c r="G5" i="3"/>
  <c r="B3" i="3"/>
  <c r="AY6" i="3"/>
  <c r="D3" i="6"/>
  <c r="E3" i="6"/>
  <c r="H24" i="6"/>
  <c r="D24" i="6"/>
  <c r="R24" i="6"/>
  <c r="R11" i="1"/>
  <c r="F35" i="90"/>
  <c r="F34" i="90"/>
  <c r="C34" i="90"/>
  <c r="C31" i="90"/>
  <c r="F43" i="90"/>
  <c r="C14" i="90"/>
  <c r="F15" i="90"/>
  <c r="C15" i="90"/>
  <c r="F16" i="90"/>
  <c r="C16" i="90"/>
  <c r="F17" i="90"/>
  <c r="C17" i="90"/>
  <c r="F18" i="90"/>
  <c r="C18" i="90"/>
  <c r="C19" i="90"/>
  <c r="F20" i="90"/>
  <c r="C20" i="90"/>
  <c r="F24" i="90"/>
  <c r="F23" i="90"/>
  <c r="C23" i="90"/>
  <c r="F26" i="90"/>
  <c r="C26" i="90"/>
  <c r="F21" i="90"/>
  <c r="C24" i="90"/>
  <c r="C27" i="90"/>
  <c r="F28" i="90"/>
  <c r="C28" i="90"/>
  <c r="C29" i="90"/>
  <c r="F36" i="90"/>
  <c r="C36" i="90"/>
  <c r="F13" i="90"/>
  <c r="C13" i="90"/>
  <c r="F37" i="90"/>
  <c r="C37" i="90"/>
  <c r="F38" i="90"/>
  <c r="C38" i="90"/>
  <c r="C30" i="90"/>
  <c r="C39" i="90"/>
  <c r="F42" i="90"/>
  <c r="F40" i="90"/>
  <c r="L48" i="90"/>
  <c r="J51" i="90"/>
  <c r="J53" i="90"/>
  <c r="F1" i="90"/>
  <c r="AE11" i="1"/>
  <c r="F41" i="90"/>
  <c r="C40" i="90"/>
  <c r="M6" i="90"/>
  <c r="M8" i="90"/>
  <c r="M7" i="90"/>
  <c r="M9" i="90"/>
  <c r="J6" i="90"/>
  <c r="M11" i="90"/>
  <c r="J10" i="90"/>
  <c r="J5" i="90"/>
  <c r="J26" i="90"/>
  <c r="J29" i="90"/>
  <c r="J57" i="90"/>
  <c r="J55" i="90"/>
  <c r="J58" i="90"/>
  <c r="J59" i="90"/>
  <c r="J60" i="90"/>
  <c r="L46" i="90"/>
  <c r="D2" i="90"/>
  <c r="B3" i="90"/>
  <c r="C57" i="99"/>
  <c r="C56" i="99"/>
  <c r="G1" i="96"/>
  <c r="D9" i="96"/>
  <c r="E9" i="96"/>
  <c r="C9" i="96"/>
  <c r="K20" i="6"/>
  <c r="S7" i="1"/>
  <c r="D10" i="96"/>
  <c r="E10" i="96"/>
  <c r="C10" i="96"/>
  <c r="C8" i="96"/>
  <c r="C6" i="96"/>
  <c r="F7" i="96"/>
  <c r="C7" i="96"/>
  <c r="C5" i="96"/>
  <c r="C19" i="96"/>
  <c r="F20" i="96"/>
  <c r="C20" i="96"/>
  <c r="F22" i="96"/>
  <c r="C23" i="96"/>
  <c r="C24" i="96"/>
  <c r="C25" i="96"/>
  <c r="C22" i="96"/>
  <c r="F27" i="96"/>
  <c r="C28" i="96"/>
  <c r="C27" i="96"/>
  <c r="F21" i="96"/>
  <c r="C26" i="96"/>
  <c r="D22" i="96"/>
  <c r="C21" i="96"/>
  <c r="C29" i="96"/>
  <c r="D27" i="96"/>
  <c r="F30" i="96"/>
  <c r="C30" i="96"/>
  <c r="C31" i="96"/>
  <c r="F34" i="96"/>
  <c r="T7" i="1"/>
  <c r="C34" i="96"/>
  <c r="F35" i="96"/>
  <c r="C35" i="96"/>
  <c r="C36" i="96"/>
  <c r="D19" i="96"/>
  <c r="D37" i="96"/>
  <c r="E37" i="96"/>
  <c r="C37" i="96"/>
  <c r="F38" i="96"/>
  <c r="C38" i="96"/>
  <c r="C33" i="96"/>
  <c r="C39" i="96"/>
  <c r="C42" i="96"/>
  <c r="C43" i="96"/>
  <c r="C41" i="96"/>
  <c r="C46" i="96"/>
  <c r="C45" i="96"/>
  <c r="C40" i="96"/>
  <c r="C44" i="96"/>
  <c r="D41" i="96"/>
  <c r="C47" i="96"/>
  <c r="D45" i="96"/>
  <c r="C48" i="96"/>
  <c r="C49" i="96"/>
  <c r="F50" i="96"/>
  <c r="C51" i="96"/>
  <c r="C52" i="96"/>
  <c r="B2" i="96"/>
  <c r="B3" i="96"/>
  <c r="G1" i="89"/>
  <c r="F6" i="89"/>
  <c r="F8" i="89"/>
  <c r="F7" i="89"/>
  <c r="F9" i="89"/>
  <c r="C6" i="89"/>
  <c r="F11" i="89"/>
  <c r="C10" i="89"/>
  <c r="C5" i="89"/>
  <c r="F32" i="89"/>
  <c r="C32" i="89"/>
  <c r="F33" i="89"/>
  <c r="C33" i="89"/>
  <c r="L20" i="6"/>
  <c r="M20" i="6"/>
  <c r="I20" i="6"/>
  <c r="H20" i="6"/>
  <c r="D20" i="6"/>
  <c r="R20" i="6"/>
  <c r="R7" i="1"/>
  <c r="F35" i="89"/>
  <c r="F34" i="89"/>
  <c r="C34" i="89"/>
  <c r="C31" i="89"/>
  <c r="F43" i="89"/>
  <c r="C14" i="89"/>
  <c r="F15" i="89"/>
  <c r="C15" i="89"/>
  <c r="F16" i="89"/>
  <c r="C16" i="89"/>
  <c r="F17" i="89"/>
  <c r="C17" i="89"/>
  <c r="F18" i="89"/>
  <c r="C18" i="89"/>
  <c r="C19" i="89"/>
  <c r="F20" i="89"/>
  <c r="C20" i="89"/>
  <c r="F24" i="89"/>
  <c r="F23" i="89"/>
  <c r="C23" i="89"/>
  <c r="F26" i="89"/>
  <c r="C26" i="89"/>
  <c r="F21" i="89"/>
  <c r="C24" i="89"/>
  <c r="C27" i="89"/>
  <c r="F28" i="89"/>
  <c r="C28" i="89"/>
  <c r="C29" i="89"/>
  <c r="F36" i="89"/>
  <c r="C36" i="89"/>
  <c r="F13" i="89"/>
  <c r="C13" i="89"/>
  <c r="F37" i="89"/>
  <c r="C37" i="89"/>
  <c r="F38" i="89"/>
  <c r="C38" i="89"/>
  <c r="C30" i="89"/>
  <c r="C39" i="89"/>
  <c r="F42" i="89"/>
  <c r="F40" i="89"/>
  <c r="L48" i="89"/>
  <c r="J51" i="89"/>
  <c r="J53" i="89"/>
  <c r="F1" i="89"/>
  <c r="AE7" i="1"/>
  <c r="F41" i="89"/>
  <c r="C40" i="89"/>
  <c r="M6" i="89"/>
  <c r="M8" i="89"/>
  <c r="M7" i="89"/>
  <c r="M9" i="89"/>
  <c r="J6" i="89"/>
  <c r="M11" i="89"/>
  <c r="J10" i="89"/>
  <c r="J5" i="89"/>
  <c r="J26" i="89"/>
  <c r="J29" i="89"/>
  <c r="J57" i="89"/>
  <c r="J55" i="89"/>
  <c r="J58" i="89"/>
  <c r="J59" i="89"/>
  <c r="J60" i="89"/>
  <c r="L46" i="89"/>
  <c r="D2" i="89"/>
  <c r="B3" i="89"/>
  <c r="C57" i="96"/>
  <c r="C56" i="96"/>
  <c r="G1" i="97"/>
  <c r="D9" i="97"/>
  <c r="E9" i="97"/>
  <c r="C9" i="97"/>
  <c r="K23" i="6"/>
  <c r="S10" i="1"/>
  <c r="D10" i="97"/>
  <c r="E10" i="97"/>
  <c r="C10" i="97"/>
  <c r="C8" i="97"/>
  <c r="G42" i="81"/>
  <c r="C6" i="97"/>
  <c r="F7" i="97"/>
  <c r="C7" i="97"/>
  <c r="C5" i="97"/>
  <c r="C19" i="97"/>
  <c r="F20" i="97"/>
  <c r="C20" i="97"/>
  <c r="F22" i="97"/>
  <c r="C23" i="97"/>
  <c r="C24" i="97"/>
  <c r="C25" i="97"/>
  <c r="C22" i="97"/>
  <c r="F27" i="97"/>
  <c r="C28" i="97"/>
  <c r="C27" i="97"/>
  <c r="F21" i="97"/>
  <c r="C26" i="97"/>
  <c r="D22" i="97"/>
  <c r="C21" i="97"/>
  <c r="C29" i="97"/>
  <c r="D27" i="97"/>
  <c r="F30" i="97"/>
  <c r="C30" i="97"/>
  <c r="C31" i="97"/>
  <c r="F34" i="97"/>
  <c r="T10" i="1"/>
  <c r="C34" i="97"/>
  <c r="F35" i="97"/>
  <c r="C35" i="97"/>
  <c r="C36" i="97"/>
  <c r="D19" i="97"/>
  <c r="D37" i="97"/>
  <c r="E37" i="97"/>
  <c r="C37" i="97"/>
  <c r="F38" i="97"/>
  <c r="C38" i="97"/>
  <c r="C33" i="97"/>
  <c r="C39" i="97"/>
  <c r="C42" i="97"/>
  <c r="C43" i="97"/>
  <c r="C41" i="97"/>
  <c r="C46" i="97"/>
  <c r="C45" i="97"/>
  <c r="C40" i="97"/>
  <c r="C44" i="97"/>
  <c r="D41" i="97"/>
  <c r="C47" i="97"/>
  <c r="D45" i="97"/>
  <c r="C48" i="97"/>
  <c r="C49" i="97"/>
  <c r="F50" i="97"/>
  <c r="C51" i="97"/>
  <c r="C52" i="97"/>
  <c r="B2" i="97"/>
  <c r="B3" i="97"/>
  <c r="G1" i="91"/>
  <c r="F6" i="91"/>
  <c r="F8" i="91"/>
  <c r="F7" i="91"/>
  <c r="F9" i="91"/>
  <c r="C6" i="91"/>
  <c r="F11" i="91"/>
  <c r="C10" i="91"/>
  <c r="C5" i="91"/>
  <c r="F32" i="91"/>
  <c r="C32" i="91"/>
  <c r="F33" i="91"/>
  <c r="C33" i="91"/>
  <c r="L23" i="6"/>
  <c r="M23" i="6"/>
  <c r="I23" i="6"/>
  <c r="H23" i="6"/>
  <c r="D23" i="6"/>
  <c r="R23" i="6"/>
  <c r="R10" i="1"/>
  <c r="F35" i="91"/>
  <c r="F34" i="91"/>
  <c r="C34" i="91"/>
  <c r="C31" i="91"/>
  <c r="F43" i="91"/>
  <c r="C14" i="91"/>
  <c r="F15" i="91"/>
  <c r="C15" i="91"/>
  <c r="F16" i="91"/>
  <c r="C16" i="91"/>
  <c r="F17" i="91"/>
  <c r="C17" i="91"/>
  <c r="F18" i="91"/>
  <c r="C18" i="91"/>
  <c r="C19" i="91"/>
  <c r="F20" i="91"/>
  <c r="C20" i="91"/>
  <c r="F24" i="91"/>
  <c r="F23" i="91"/>
  <c r="C23" i="91"/>
  <c r="F26" i="91"/>
  <c r="C26" i="91"/>
  <c r="F21" i="91"/>
  <c r="C24" i="91"/>
  <c r="C27" i="91"/>
  <c r="F28" i="91"/>
  <c r="C28" i="91"/>
  <c r="C29" i="91"/>
  <c r="F36" i="91"/>
  <c r="C36" i="91"/>
  <c r="F13" i="91"/>
  <c r="C13" i="91"/>
  <c r="F37" i="91"/>
  <c r="C37" i="91"/>
  <c r="F38" i="91"/>
  <c r="C38" i="91"/>
  <c r="C30" i="91"/>
  <c r="C39" i="91"/>
  <c r="F42" i="91"/>
  <c r="F40" i="91"/>
  <c r="F10" i="1"/>
  <c r="L48" i="91"/>
  <c r="J51" i="91"/>
  <c r="J53" i="91"/>
  <c r="F1" i="91"/>
  <c r="AE10" i="1"/>
  <c r="F41" i="91"/>
  <c r="C40" i="91"/>
  <c r="M6" i="91"/>
  <c r="M8" i="91"/>
  <c r="M7" i="91"/>
  <c r="M9" i="91"/>
  <c r="J6" i="91"/>
  <c r="M11" i="91"/>
  <c r="J10" i="91"/>
  <c r="J5" i="91"/>
  <c r="J26" i="91"/>
  <c r="J29" i="91"/>
  <c r="J57" i="91"/>
  <c r="J55" i="91"/>
  <c r="J58" i="91"/>
  <c r="J59" i="91"/>
  <c r="J60" i="91"/>
  <c r="L46" i="91"/>
  <c r="D2" i="91"/>
  <c r="B3" i="91"/>
  <c r="C57" i="97"/>
  <c r="C56" i="97"/>
  <c r="G1" i="95"/>
  <c r="D9" i="95"/>
  <c r="E9" i="95"/>
  <c r="C9" i="95"/>
  <c r="K22" i="6"/>
  <c r="S9" i="1"/>
  <c r="D10" i="95"/>
  <c r="E10" i="95"/>
  <c r="C10" i="95"/>
  <c r="C8" i="95"/>
  <c r="C6" i="95"/>
  <c r="F7" i="95"/>
  <c r="C7" i="95"/>
  <c r="C5" i="95"/>
  <c r="C19" i="95"/>
  <c r="F20" i="95"/>
  <c r="C20" i="95"/>
  <c r="F22" i="95"/>
  <c r="C23" i="95"/>
  <c r="C24" i="95"/>
  <c r="C25" i="95"/>
  <c r="C22" i="95"/>
  <c r="F27" i="95"/>
  <c r="C28" i="95"/>
  <c r="C27" i="95"/>
  <c r="F21" i="95"/>
  <c r="C26" i="95"/>
  <c r="D22" i="95"/>
  <c r="C21" i="95"/>
  <c r="C29" i="95"/>
  <c r="D27" i="95"/>
  <c r="F30" i="95"/>
  <c r="C30" i="95"/>
  <c r="C31" i="95"/>
  <c r="F34" i="95"/>
  <c r="T9" i="1"/>
  <c r="C34" i="95"/>
  <c r="F35" i="95"/>
  <c r="C35" i="95"/>
  <c r="C36" i="95"/>
  <c r="D19" i="95"/>
  <c r="D37" i="95"/>
  <c r="E37" i="95"/>
  <c r="C37" i="95"/>
  <c r="F38" i="95"/>
  <c r="C38" i="95"/>
  <c r="C33" i="95"/>
  <c r="C39" i="95"/>
  <c r="C42" i="95"/>
  <c r="C43" i="95"/>
  <c r="C41" i="95"/>
  <c r="C46" i="95"/>
  <c r="C45" i="95"/>
  <c r="C40" i="95"/>
  <c r="C44" i="95"/>
  <c r="D41" i="95"/>
  <c r="C47" i="95"/>
  <c r="D45" i="95"/>
  <c r="C48" i="95"/>
  <c r="C49" i="95"/>
  <c r="F50" i="95"/>
  <c r="C51" i="95"/>
  <c r="C52" i="95"/>
  <c r="B2" i="95"/>
  <c r="B3" i="95"/>
  <c r="G1" i="92"/>
  <c r="F6" i="92"/>
  <c r="F8" i="92"/>
  <c r="F7" i="92"/>
  <c r="F9" i="92"/>
  <c r="C6" i="92"/>
  <c r="F11" i="92"/>
  <c r="C10" i="92"/>
  <c r="C5" i="92"/>
  <c r="F32" i="92"/>
  <c r="C32" i="92"/>
  <c r="F33" i="92"/>
  <c r="C33" i="92"/>
  <c r="L22" i="6"/>
  <c r="M22" i="6"/>
  <c r="I22" i="6"/>
  <c r="H22" i="6"/>
  <c r="D22" i="6"/>
  <c r="R22" i="6"/>
  <c r="R9" i="1"/>
  <c r="F35" i="92"/>
  <c r="F34" i="92"/>
  <c r="C34" i="92"/>
  <c r="C31" i="92"/>
  <c r="F43" i="92"/>
  <c r="C14" i="92"/>
  <c r="F15" i="92"/>
  <c r="C15" i="92"/>
  <c r="F16" i="92"/>
  <c r="C16" i="92"/>
  <c r="F17" i="92"/>
  <c r="C17" i="92"/>
  <c r="F18" i="92"/>
  <c r="C18" i="92"/>
  <c r="C19" i="92"/>
  <c r="F20" i="92"/>
  <c r="C20" i="92"/>
  <c r="F24" i="92"/>
  <c r="F23" i="92"/>
  <c r="C23" i="92"/>
  <c r="F26" i="92"/>
  <c r="C26" i="92"/>
  <c r="F21" i="92"/>
  <c r="C24" i="92"/>
  <c r="C27" i="92"/>
  <c r="F28" i="92"/>
  <c r="C28" i="92"/>
  <c r="C29" i="92"/>
  <c r="F36" i="92"/>
  <c r="C36" i="92"/>
  <c r="F13" i="92"/>
  <c r="C13" i="92"/>
  <c r="F37" i="92"/>
  <c r="C37" i="92"/>
  <c r="F38" i="92"/>
  <c r="C38" i="92"/>
  <c r="C30" i="92"/>
  <c r="C39" i="92"/>
  <c r="F42" i="92"/>
  <c r="F40" i="92"/>
  <c r="F9" i="1"/>
  <c r="L48" i="92"/>
  <c r="J51" i="92"/>
  <c r="J53" i="92"/>
  <c r="F1" i="92"/>
  <c r="AE9" i="1"/>
  <c r="F41" i="92"/>
  <c r="C40" i="92"/>
  <c r="M6" i="92"/>
  <c r="M8" i="92"/>
  <c r="M7" i="92"/>
  <c r="M9" i="92"/>
  <c r="J6" i="92"/>
  <c r="M11" i="92"/>
  <c r="J10" i="92"/>
  <c r="J5" i="92"/>
  <c r="J26" i="92"/>
  <c r="J29" i="92"/>
  <c r="J57" i="92"/>
  <c r="J55" i="92"/>
  <c r="J58" i="92"/>
  <c r="J59" i="92"/>
  <c r="J60" i="92"/>
  <c r="L46" i="92"/>
  <c r="D2" i="92"/>
  <c r="B3" i="92"/>
  <c r="C57" i="95"/>
  <c r="C56" i="95"/>
  <c r="G1" i="68"/>
  <c r="D9" i="68"/>
  <c r="E9" i="68"/>
  <c r="C9" i="68"/>
  <c r="K21" i="6"/>
  <c r="S8" i="1"/>
  <c r="D10" i="68"/>
  <c r="E10" i="68"/>
  <c r="C10" i="68"/>
  <c r="C8" i="68"/>
  <c r="G41" i="81"/>
  <c r="H41" i="81"/>
  <c r="I41" i="81"/>
  <c r="C6" i="68"/>
  <c r="F7" i="68"/>
  <c r="C7" i="68"/>
  <c r="C5" i="68"/>
  <c r="C19" i="68"/>
  <c r="F20" i="68"/>
  <c r="C20" i="68"/>
  <c r="F22" i="68"/>
  <c r="C23" i="68"/>
  <c r="C24" i="68"/>
  <c r="C25" i="68"/>
  <c r="C22" i="68"/>
  <c r="F27" i="68"/>
  <c r="C28" i="68"/>
  <c r="C27" i="68"/>
  <c r="F21" i="68"/>
  <c r="C26" i="68"/>
  <c r="D22" i="68"/>
  <c r="C21" i="68"/>
  <c r="C29" i="68"/>
  <c r="D27" i="68"/>
  <c r="F30" i="68"/>
  <c r="C30" i="68"/>
  <c r="C31" i="68"/>
  <c r="F34" i="68"/>
  <c r="T8" i="1"/>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52" i="68"/>
  <c r="B2" i="68"/>
  <c r="B3" i="68"/>
  <c r="G1" i="93"/>
  <c r="F6" i="93"/>
  <c r="F8" i="93"/>
  <c r="F7" i="93"/>
  <c r="F9" i="93"/>
  <c r="C6" i="93"/>
  <c r="F11" i="93"/>
  <c r="C10" i="93"/>
  <c r="C5" i="93"/>
  <c r="F32" i="93"/>
  <c r="C32" i="93"/>
  <c r="F33" i="93"/>
  <c r="C33" i="93"/>
  <c r="L21" i="6"/>
  <c r="M21" i="6"/>
  <c r="I21" i="6"/>
  <c r="H21" i="6"/>
  <c r="D21" i="6"/>
  <c r="R21" i="6"/>
  <c r="R8" i="1"/>
  <c r="F35" i="93"/>
  <c r="F34" i="93"/>
  <c r="C34" i="93"/>
  <c r="C31" i="93"/>
  <c r="F43" i="93"/>
  <c r="C14" i="93"/>
  <c r="F15" i="93"/>
  <c r="C15" i="93"/>
  <c r="F16" i="93"/>
  <c r="C16" i="93"/>
  <c r="F17" i="93"/>
  <c r="C17" i="93"/>
  <c r="F18" i="93"/>
  <c r="C18" i="93"/>
  <c r="C19" i="93"/>
  <c r="F20" i="93"/>
  <c r="C20" i="93"/>
  <c r="F24" i="93"/>
  <c r="F23" i="93"/>
  <c r="C23" i="93"/>
  <c r="F26" i="93"/>
  <c r="C26" i="93"/>
  <c r="F21" i="93"/>
  <c r="C24" i="93"/>
  <c r="C27" i="93"/>
  <c r="F28" i="93"/>
  <c r="C28" i="93"/>
  <c r="C29" i="93"/>
  <c r="F36" i="93"/>
  <c r="C36" i="93"/>
  <c r="F13" i="93"/>
  <c r="C13" i="93"/>
  <c r="F37" i="93"/>
  <c r="C37" i="93"/>
  <c r="F38" i="93"/>
  <c r="C38" i="93"/>
  <c r="C30" i="93"/>
  <c r="C39" i="93"/>
  <c r="F42" i="93"/>
  <c r="F40" i="93"/>
  <c r="G15" i="4"/>
  <c r="F8" i="1"/>
  <c r="L48" i="93"/>
  <c r="J51" i="93"/>
  <c r="J53" i="93"/>
  <c r="F1" i="93"/>
  <c r="AE8" i="1"/>
  <c r="F41" i="93"/>
  <c r="C40" i="93"/>
  <c r="M6" i="93"/>
  <c r="M8" i="93"/>
  <c r="M7" i="93"/>
  <c r="M9" i="93"/>
  <c r="J6" i="93"/>
  <c r="M11" i="93"/>
  <c r="J10" i="93"/>
  <c r="J5" i="93"/>
  <c r="J26" i="93"/>
  <c r="J29" i="93"/>
  <c r="J57" i="93"/>
  <c r="J55" i="93"/>
  <c r="J58" i="93"/>
  <c r="J59" i="93"/>
  <c r="J60" i="93"/>
  <c r="L46" i="93"/>
  <c r="D2" i="93"/>
  <c r="B3" i="93"/>
  <c r="C57" i="68"/>
  <c r="C56" i="68"/>
  <c r="G1" i="98"/>
  <c r="D9" i="98"/>
  <c r="E9" i="98"/>
  <c r="C9" i="98"/>
  <c r="K19" i="6"/>
  <c r="S6" i="1"/>
  <c r="D10" i="98"/>
  <c r="E10" i="98"/>
  <c r="C10" i="98"/>
  <c r="C8" i="98"/>
  <c r="C6" i="98"/>
  <c r="F7" i="98"/>
  <c r="C7" i="98"/>
  <c r="C5" i="98"/>
  <c r="C19" i="98"/>
  <c r="F20" i="98"/>
  <c r="C20" i="98"/>
  <c r="F22" i="98"/>
  <c r="C23" i="98"/>
  <c r="C24" i="98"/>
  <c r="C25" i="98"/>
  <c r="C22" i="98"/>
  <c r="F27" i="98"/>
  <c r="C28" i="98"/>
  <c r="C27" i="98"/>
  <c r="F21" i="98"/>
  <c r="C26" i="98"/>
  <c r="D22" i="98"/>
  <c r="C21" i="98"/>
  <c r="C29" i="98"/>
  <c r="D27" i="98"/>
  <c r="F30" i="98"/>
  <c r="C30" i="98"/>
  <c r="C31" i="98"/>
  <c r="F34" i="98"/>
  <c r="T6" i="1"/>
  <c r="C34" i="98"/>
  <c r="F35" i="98"/>
  <c r="C35" i="98"/>
  <c r="C36" i="98"/>
  <c r="D19" i="98"/>
  <c r="D37" i="98"/>
  <c r="E37" i="98"/>
  <c r="C37" i="98"/>
  <c r="F38" i="98"/>
  <c r="C38" i="98"/>
  <c r="C33" i="98"/>
  <c r="C39" i="98"/>
  <c r="C42" i="98"/>
  <c r="C43" i="98"/>
  <c r="C41" i="98"/>
  <c r="C46" i="98"/>
  <c r="C45" i="98"/>
  <c r="C40" i="98"/>
  <c r="C44" i="98"/>
  <c r="D41" i="98"/>
  <c r="C47" i="98"/>
  <c r="D45" i="98"/>
  <c r="C48" i="98"/>
  <c r="C49" i="98"/>
  <c r="F50" i="98"/>
  <c r="C51" i="98"/>
  <c r="C52" i="98"/>
  <c r="B2" i="98"/>
  <c r="B3" i="98"/>
  <c r="G1" i="88"/>
  <c r="F32" i="88"/>
  <c r="F33" i="88"/>
  <c r="E32" i="6"/>
  <c r="L19" i="6"/>
  <c r="M19" i="6"/>
  <c r="I19" i="6"/>
  <c r="H19" i="6"/>
  <c r="D19" i="6"/>
  <c r="R19" i="6"/>
  <c r="F34" i="88"/>
  <c r="F15" i="88"/>
  <c r="F17" i="88"/>
  <c r="F18" i="88"/>
  <c r="F20" i="88"/>
  <c r="F23" i="88"/>
  <c r="F21" i="88"/>
  <c r="F28" i="88"/>
  <c r="C28" i="88"/>
  <c r="J51" i="88"/>
  <c r="M47" i="88"/>
  <c r="J57" i="88"/>
  <c r="J55" i="88"/>
  <c r="J58" i="88"/>
  <c r="J59" i="88"/>
  <c r="J60" i="88"/>
  <c r="L46" i="88"/>
  <c r="C57" i="98"/>
  <c r="C56" i="98"/>
  <c r="G1" i="83"/>
  <c r="C34" i="83"/>
  <c r="F35" i="83"/>
  <c r="C35" i="83"/>
  <c r="C36" i="83"/>
  <c r="D9" i="83"/>
  <c r="D10" i="83"/>
  <c r="D19" i="83"/>
  <c r="D37" i="83"/>
  <c r="E37" i="83"/>
  <c r="C37" i="83"/>
  <c r="F38" i="83"/>
  <c r="C38" i="83"/>
  <c r="C33" i="83"/>
  <c r="F20" i="83"/>
  <c r="C39" i="83"/>
  <c r="F22" i="83"/>
  <c r="C42" i="83"/>
  <c r="C43" i="83"/>
  <c r="C41" i="83"/>
  <c r="F27" i="83"/>
  <c r="C46" i="83"/>
  <c r="C45" i="83"/>
  <c r="F21" i="83"/>
  <c r="C40" i="83"/>
  <c r="C44" i="83"/>
  <c r="D41" i="83"/>
  <c r="C47" i="83"/>
  <c r="D45" i="83"/>
  <c r="F30" i="83"/>
  <c r="C48" i="83"/>
  <c r="C49" i="83"/>
  <c r="F50" i="83"/>
  <c r="C51" i="83"/>
  <c r="E9" i="83"/>
  <c r="C9" i="83"/>
  <c r="E10" i="83"/>
  <c r="C10" i="83"/>
  <c r="C8" i="83"/>
  <c r="C6" i="83"/>
  <c r="F7" i="83"/>
  <c r="C7" i="83"/>
  <c r="C5" i="83"/>
  <c r="C19" i="83"/>
  <c r="C20" i="83"/>
  <c r="C23" i="83"/>
  <c r="C24" i="83"/>
  <c r="C25" i="83"/>
  <c r="C22" i="83"/>
  <c r="C28" i="83"/>
  <c r="C27" i="83"/>
  <c r="C26" i="83"/>
  <c r="D22" i="83"/>
  <c r="C21" i="83"/>
  <c r="C29" i="83"/>
  <c r="D27" i="83"/>
  <c r="C30" i="83"/>
  <c r="C31" i="83"/>
  <c r="C52" i="83"/>
  <c r="C57" i="83"/>
  <c r="C56" i="83"/>
  <c r="G1" i="82"/>
  <c r="C34" i="82"/>
  <c r="F35" i="82"/>
  <c r="C35" i="82"/>
  <c r="C36" i="82"/>
  <c r="D9" i="82"/>
  <c r="D10" i="82"/>
  <c r="D19" i="82"/>
  <c r="D37" i="82"/>
  <c r="E37" i="82"/>
  <c r="C37" i="82"/>
  <c r="F38" i="82"/>
  <c r="C38" i="82"/>
  <c r="C33" i="82"/>
  <c r="F20" i="82"/>
  <c r="C39" i="82"/>
  <c r="F22" i="82"/>
  <c r="C42" i="82"/>
  <c r="C43" i="82"/>
  <c r="C41" i="82"/>
  <c r="F27" i="82"/>
  <c r="C46" i="82"/>
  <c r="C45" i="82"/>
  <c r="F21" i="82"/>
  <c r="C40" i="82"/>
  <c r="C44" i="82"/>
  <c r="D41" i="82"/>
  <c r="C47" i="82"/>
  <c r="D45" i="82"/>
  <c r="F30" i="82"/>
  <c r="C48" i="82"/>
  <c r="C49" i="82"/>
  <c r="F50" i="82"/>
  <c r="C51" i="82"/>
  <c r="E9" i="82"/>
  <c r="C9" i="82"/>
  <c r="E10" i="82"/>
  <c r="C10" i="82"/>
  <c r="C8" i="82"/>
  <c r="C6" i="82"/>
  <c r="F7" i="82"/>
  <c r="C7" i="82"/>
  <c r="C5" i="82"/>
  <c r="C19" i="82"/>
  <c r="C20" i="82"/>
  <c r="C23" i="82"/>
  <c r="C24" i="82"/>
  <c r="C25" i="82"/>
  <c r="C22" i="82"/>
  <c r="C28" i="82"/>
  <c r="C27" i="82"/>
  <c r="C26" i="82"/>
  <c r="D22" i="82"/>
  <c r="C21" i="82"/>
  <c r="C29" i="82"/>
  <c r="D27" i="82"/>
  <c r="C30" i="82"/>
  <c r="C31" i="82"/>
  <c r="C52" i="82"/>
  <c r="C57" i="82"/>
  <c r="C56" i="82"/>
  <c r="G1" i="85"/>
  <c r="C34" i="85"/>
  <c r="F35" i="85"/>
  <c r="C35" i="85"/>
  <c r="C36" i="85"/>
  <c r="D9" i="85"/>
  <c r="D10" i="85"/>
  <c r="D19" i="85"/>
  <c r="D37" i="85"/>
  <c r="E37" i="85"/>
  <c r="C37" i="85"/>
  <c r="F38" i="85"/>
  <c r="C38" i="85"/>
  <c r="C33" i="85"/>
  <c r="F20" i="85"/>
  <c r="C39" i="85"/>
  <c r="F22" i="85"/>
  <c r="C42" i="85"/>
  <c r="C43" i="85"/>
  <c r="C41" i="85"/>
  <c r="F27" i="85"/>
  <c r="C46" i="85"/>
  <c r="C45" i="85"/>
  <c r="F21" i="85"/>
  <c r="C40" i="85"/>
  <c r="C44" i="85"/>
  <c r="D41" i="85"/>
  <c r="C47" i="85"/>
  <c r="D45" i="85"/>
  <c r="F30" i="85"/>
  <c r="C48" i="85"/>
  <c r="C49" i="85"/>
  <c r="F50" i="85"/>
  <c r="C51" i="85"/>
  <c r="E9" i="85"/>
  <c r="C9" i="85"/>
  <c r="E10" i="85"/>
  <c r="C10" i="85"/>
  <c r="C8" i="85"/>
  <c r="C6" i="85"/>
  <c r="F7" i="85"/>
  <c r="C7" i="85"/>
  <c r="C5" i="85"/>
  <c r="C19" i="85"/>
  <c r="C20" i="85"/>
  <c r="C23" i="85"/>
  <c r="C24" i="85"/>
  <c r="C25" i="85"/>
  <c r="C22" i="85"/>
  <c r="C28" i="85"/>
  <c r="C27" i="85"/>
  <c r="C26" i="85"/>
  <c r="D22" i="85"/>
  <c r="C21" i="85"/>
  <c r="C29" i="85"/>
  <c r="D27" i="85"/>
  <c r="C30" i="85"/>
  <c r="C31" i="85"/>
  <c r="C52" i="85"/>
  <c r="C57" i="85"/>
  <c r="C56" i="85"/>
  <c r="G1" i="84"/>
  <c r="C34" i="84"/>
  <c r="F35" i="84"/>
  <c r="C35" i="84"/>
  <c r="C36" i="84"/>
  <c r="D9" i="84"/>
  <c r="D10" i="84"/>
  <c r="D19" i="84"/>
  <c r="D37" i="84"/>
  <c r="E37" i="84"/>
  <c r="C37" i="84"/>
  <c r="F38" i="84"/>
  <c r="C38" i="84"/>
  <c r="C33" i="84"/>
  <c r="F20" i="84"/>
  <c r="C39" i="84"/>
  <c r="F22" i="84"/>
  <c r="C42" i="84"/>
  <c r="C43" i="84"/>
  <c r="C41" i="84"/>
  <c r="F27" i="84"/>
  <c r="C46" i="84"/>
  <c r="C45" i="84"/>
  <c r="F21" i="84"/>
  <c r="C40" i="84"/>
  <c r="C44" i="84"/>
  <c r="D41" i="84"/>
  <c r="C47" i="84"/>
  <c r="D45" i="84"/>
  <c r="F30" i="84"/>
  <c r="C48" i="84"/>
  <c r="C49" i="84"/>
  <c r="F50" i="84"/>
  <c r="C51" i="84"/>
  <c r="E9" i="84"/>
  <c r="C9" i="84"/>
  <c r="E10" i="84"/>
  <c r="C10" i="84"/>
  <c r="C8" i="84"/>
  <c r="C6" i="84"/>
  <c r="F7" i="84"/>
  <c r="C7" i="84"/>
  <c r="C5" i="84"/>
  <c r="C19" i="84"/>
  <c r="C20" i="84"/>
  <c r="C23" i="84"/>
  <c r="C24" i="84"/>
  <c r="C25" i="84"/>
  <c r="C22" i="84"/>
  <c r="C28" i="84"/>
  <c r="C27" i="84"/>
  <c r="C26" i="84"/>
  <c r="D22" i="84"/>
  <c r="C21" i="84"/>
  <c r="C29" i="84"/>
  <c r="D27" i="84"/>
  <c r="C30" i="84"/>
  <c r="C31" i="84"/>
  <c r="C52" i="84"/>
  <c r="C57" i="84"/>
  <c r="C56" i="84"/>
  <c r="G1" i="86"/>
  <c r="C34" i="86"/>
  <c r="F35" i="86"/>
  <c r="C35" i="86"/>
  <c r="C36" i="86"/>
  <c r="D9" i="86"/>
  <c r="D10" i="86"/>
  <c r="D19" i="86"/>
  <c r="D37" i="86"/>
  <c r="E37" i="86"/>
  <c r="C37" i="86"/>
  <c r="F38" i="86"/>
  <c r="C38" i="86"/>
  <c r="C33" i="86"/>
  <c r="F20" i="86"/>
  <c r="C39" i="86"/>
  <c r="F22" i="86"/>
  <c r="C42" i="86"/>
  <c r="C43" i="86"/>
  <c r="C41" i="86"/>
  <c r="F27" i="86"/>
  <c r="C46" i="86"/>
  <c r="C45" i="86"/>
  <c r="F21" i="86"/>
  <c r="C40" i="86"/>
  <c r="C44" i="86"/>
  <c r="D41" i="86"/>
  <c r="C47" i="86"/>
  <c r="D45" i="86"/>
  <c r="F30" i="86"/>
  <c r="C48" i="86"/>
  <c r="C49" i="86"/>
  <c r="F50" i="86"/>
  <c r="C51" i="86"/>
  <c r="E9" i="86"/>
  <c r="C9" i="86"/>
  <c r="E10" i="86"/>
  <c r="C10" i="86"/>
  <c r="C8" i="86"/>
  <c r="C6" i="86"/>
  <c r="F7" i="86"/>
  <c r="C7" i="86"/>
  <c r="C5" i="86"/>
  <c r="C19" i="86"/>
  <c r="C20" i="86"/>
  <c r="C23" i="86"/>
  <c r="C24" i="86"/>
  <c r="C25" i="86"/>
  <c r="C22" i="86"/>
  <c r="C28" i="86"/>
  <c r="C27" i="86"/>
  <c r="C26" i="86"/>
  <c r="D22" i="86"/>
  <c r="C21" i="86"/>
  <c r="C29" i="86"/>
  <c r="D27" i="86"/>
  <c r="C30" i="86"/>
  <c r="C31" i="86"/>
  <c r="C52" i="86"/>
  <c r="C57" i="86"/>
  <c r="C56" i="86"/>
  <c r="G1" i="69"/>
  <c r="C34" i="69"/>
  <c r="F35" i="69"/>
  <c r="C35"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C6" i="69"/>
  <c r="F7" i="69"/>
  <c r="C7" i="69"/>
  <c r="C5" i="69"/>
  <c r="C19" i="69"/>
  <c r="C20" i="69"/>
  <c r="C23" i="69"/>
  <c r="C24" i="69"/>
  <c r="C25" i="69"/>
  <c r="C22" i="69"/>
  <c r="C28" i="69"/>
  <c r="C27" i="69"/>
  <c r="C26" i="69"/>
  <c r="D22" i="69"/>
  <c r="C21" i="69"/>
  <c r="C29" i="69"/>
  <c r="D27" i="69"/>
  <c r="C30" i="69"/>
  <c r="C31" i="69"/>
  <c r="C52" i="69"/>
  <c r="C57" i="69"/>
  <c r="C56" i="69"/>
  <c r="B2" i="86"/>
  <c r="B3" i="86"/>
  <c r="B2" i="69"/>
  <c r="B3" i="69"/>
  <c r="F36" i="99"/>
  <c r="B31" i="1"/>
  <c r="E19" i="99"/>
  <c r="F48" i="99"/>
  <c r="F45" i="99"/>
  <c r="G41" i="99"/>
  <c r="F41" i="99"/>
  <c r="F40" i="99"/>
  <c r="F39" i="99"/>
  <c r="G22" i="99"/>
  <c r="E2" i="99"/>
  <c r="F36" i="98"/>
  <c r="E19" i="98"/>
  <c r="F48" i="98"/>
  <c r="F45" i="98"/>
  <c r="G41" i="98"/>
  <c r="F41" i="98"/>
  <c r="F40" i="98"/>
  <c r="F39" i="98"/>
  <c r="G22" i="98"/>
  <c r="E2" i="98"/>
  <c r="F36" i="97"/>
  <c r="E19" i="97"/>
  <c r="F48" i="97"/>
  <c r="F45" i="97"/>
  <c r="G41" i="97"/>
  <c r="F41" i="97"/>
  <c r="F40" i="97"/>
  <c r="F39" i="97"/>
  <c r="G22" i="97"/>
  <c r="E2" i="97"/>
  <c r="F36" i="96"/>
  <c r="E19" i="96"/>
  <c r="F48" i="96"/>
  <c r="F45" i="96"/>
  <c r="G41" i="96"/>
  <c r="F41" i="96"/>
  <c r="F40" i="96"/>
  <c r="F39" i="96"/>
  <c r="G22" i="96"/>
  <c r="E2" i="96"/>
  <c r="F36" i="95"/>
  <c r="E19" i="95"/>
  <c r="F48" i="95"/>
  <c r="F45" i="95"/>
  <c r="G41" i="95"/>
  <c r="F41" i="95"/>
  <c r="F40" i="95"/>
  <c r="F39" i="95"/>
  <c r="G22" i="95"/>
  <c r="E2" i="95"/>
  <c r="C20" i="43"/>
  <c r="B2" i="83"/>
  <c r="B3" i="83"/>
  <c r="C20" i="81"/>
  <c r="B2" i="82"/>
  <c r="B3" i="82"/>
  <c r="B2" i="85"/>
  <c r="B3" i="85"/>
  <c r="B2" i="84"/>
  <c r="B3" i="84"/>
  <c r="B5" i="74"/>
  <c r="K15" i="1"/>
  <c r="K16" i="1"/>
  <c r="B14" i="74"/>
  <c r="E14" i="74"/>
  <c r="C5" i="74"/>
  <c r="J52" i="93"/>
  <c r="J52" i="92"/>
  <c r="J52" i="91"/>
  <c r="J52" i="89"/>
  <c r="J52" i="90"/>
  <c r="J52" i="88"/>
  <c r="R12" i="1"/>
  <c r="AE12" i="1"/>
  <c r="M47" i="93"/>
  <c r="J50" i="93"/>
  <c r="C83" i="93"/>
  <c r="C82" i="93"/>
  <c r="C76" i="93"/>
  <c r="C75" i="93"/>
  <c r="C80" i="93"/>
  <c r="C79" i="93"/>
  <c r="Q65" i="93"/>
  <c r="L51" i="93"/>
  <c r="L57" i="93"/>
  <c r="D8" i="1"/>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M47" i="92"/>
  <c r="J50" i="92"/>
  <c r="C76" i="92"/>
  <c r="C75" i="92"/>
  <c r="L57" i="92"/>
  <c r="D9" i="1"/>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M47" i="91"/>
  <c r="J50" i="91"/>
  <c r="C83" i="91"/>
  <c r="C82" i="91"/>
  <c r="C76" i="91"/>
  <c r="C75" i="91"/>
  <c r="C80" i="91"/>
  <c r="C79" i="91"/>
  <c r="Q65" i="91"/>
  <c r="L51" i="91"/>
  <c r="L57" i="91"/>
  <c r="D10" i="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M47" i="90"/>
  <c r="J50" i="90"/>
  <c r="C83" i="90"/>
  <c r="C82" i="90"/>
  <c r="C76" i="90"/>
  <c r="C75" i="90"/>
  <c r="C80" i="90"/>
  <c r="C79" i="90"/>
  <c r="Q65" i="90"/>
  <c r="L51" i="90"/>
  <c r="L57" i="90"/>
  <c r="D11" i="1"/>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M47" i="89"/>
  <c r="J50" i="89"/>
  <c r="C83" i="89"/>
  <c r="C82" i="89"/>
  <c r="C76" i="89"/>
  <c r="C75" i="89"/>
  <c r="C80" i="89"/>
  <c r="C79" i="89"/>
  <c r="Q65" i="89"/>
  <c r="L51" i="89"/>
  <c r="L57" i="89"/>
  <c r="D7" i="1"/>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J50" i="88"/>
  <c r="C83" i="88"/>
  <c r="C82" i="88"/>
  <c r="C76" i="88"/>
  <c r="C75" i="88"/>
  <c r="C80" i="88"/>
  <c r="C79" i="88"/>
  <c r="Q65" i="88"/>
  <c r="L51" i="88"/>
  <c r="L57" i="88"/>
  <c r="D6" i="1"/>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Y6" i="1"/>
  <c r="F36" i="86"/>
  <c r="AP6" i="1"/>
  <c r="AP7" i="1"/>
  <c r="AP8" i="1"/>
  <c r="AP9" i="1"/>
  <c r="AP10" i="1"/>
  <c r="AP11" i="1"/>
  <c r="AP12" i="1"/>
  <c r="AP13" i="1"/>
  <c r="E19" i="86"/>
  <c r="F48" i="86"/>
  <c r="G41" i="86"/>
  <c r="F41" i="86"/>
  <c r="F40" i="86"/>
  <c r="F39" i="86"/>
  <c r="G22" i="86"/>
  <c r="E2" i="86"/>
  <c r="H1" i="86"/>
  <c r="F36" i="85"/>
  <c r="E19" i="85"/>
  <c r="F48" i="85"/>
  <c r="G41" i="85"/>
  <c r="F41" i="85"/>
  <c r="F40" i="85"/>
  <c r="F39" i="85"/>
  <c r="G22" i="85"/>
  <c r="E2" i="85"/>
  <c r="H1" i="85"/>
  <c r="F36" i="84"/>
  <c r="E19" i="84"/>
  <c r="F48" i="84"/>
  <c r="G41" i="84"/>
  <c r="F41" i="84"/>
  <c r="F40" i="84"/>
  <c r="F39" i="84"/>
  <c r="G22" i="84"/>
  <c r="E2" i="84"/>
  <c r="H1" i="84"/>
  <c r="F36" i="83"/>
  <c r="E19" i="83"/>
  <c r="F48" i="83"/>
  <c r="G41" i="83"/>
  <c r="F41" i="83"/>
  <c r="F40" i="83"/>
  <c r="F39" i="83"/>
  <c r="G22" i="83"/>
  <c r="E2" i="83"/>
  <c r="H1" i="83"/>
  <c r="F36" i="82"/>
  <c r="E19" i="82"/>
  <c r="F48" i="82"/>
  <c r="G41" i="82"/>
  <c r="F41" i="82"/>
  <c r="F40" i="82"/>
  <c r="F39" i="82"/>
  <c r="G22" i="82"/>
  <c r="E2" i="82"/>
  <c r="H1" i="82"/>
  <c r="D33" i="43"/>
  <c r="D1" i="43"/>
  <c r="B3" i="43"/>
  <c r="C25" i="43"/>
  <c r="C33" i="43"/>
  <c r="H42" i="81"/>
  <c r="I42"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C20" i="20"/>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C18" i="20"/>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C15" i="20"/>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C17" i="20"/>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M4" i="81"/>
  <c r="C6" i="81"/>
  <c r="H21" i="81"/>
  <c r="I21" i="81"/>
  <c r="J21" i="81"/>
  <c r="K21" i="81"/>
  <c r="L21" i="81"/>
  <c r="M21" i="81"/>
  <c r="N21" i="81"/>
  <c r="O21" i="81"/>
  <c r="G21" i="81"/>
  <c r="E21" i="81"/>
  <c r="C21" i="81"/>
  <c r="C22" i="81"/>
  <c r="W7" i="79"/>
  <c r="F42" i="81"/>
  <c r="F41" i="81"/>
  <c r="J24" i="81"/>
  <c r="F40" i="81"/>
  <c r="F39" i="81"/>
  <c r="G39" i="81"/>
  <c r="H39" i="81"/>
  <c r="I39" i="81"/>
  <c r="F38" i="81"/>
  <c r="G38" i="81"/>
  <c r="H38" i="81"/>
  <c r="I38" i="81"/>
  <c r="L36" i="81"/>
  <c r="L37" i="81"/>
  <c r="Q37" i="81"/>
  <c r="P37" i="81"/>
  <c r="O37" i="81"/>
  <c r="N37" i="81"/>
  <c r="M37" i="81"/>
  <c r="F37" i="81"/>
  <c r="G37" i="81"/>
  <c r="H37" i="81"/>
  <c r="I37" i="81"/>
  <c r="Q36" i="81"/>
  <c r="P36" i="81"/>
  <c r="O36" i="81"/>
  <c r="N36" i="81"/>
  <c r="M36" i="81"/>
  <c r="C34" i="81"/>
  <c r="E34" i="81"/>
  <c r="E24" i="81"/>
  <c r="Q32" i="81"/>
  <c r="P32" i="81"/>
  <c r="O32" i="81"/>
  <c r="N32" i="81"/>
  <c r="M32" i="81"/>
  <c r="C31"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D1" i="81"/>
  <c r="B3" i="81"/>
  <c r="S2" i="81"/>
  <c r="T2" i="81"/>
  <c r="V2" i="81"/>
  <c r="N2" i="81"/>
  <c r="M2" i="81"/>
  <c r="N1" i="81"/>
  <c r="M1" i="81"/>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6" i="69"/>
  <c r="F40" i="69"/>
  <c r="F39" i="69"/>
  <c r="AC21" i="37"/>
  <c r="AC21" i="33"/>
  <c r="G83" i="21"/>
  <c r="J21" i="21"/>
  <c r="F36" i="68"/>
  <c r="F40" i="68"/>
  <c r="F3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G11" i="1"/>
  <c r="G7" i="1"/>
  <c r="C15" i="4"/>
  <c r="L21" i="4"/>
  <c r="F19" i="4"/>
  <c r="F2" i="52"/>
  <c r="B50" i="72"/>
  <c r="D2" i="52"/>
  <c r="B46" i="72"/>
  <c r="B8" i="53"/>
  <c r="B23" i="72"/>
  <c r="L4" i="9"/>
  <c r="B17" i="72"/>
  <c r="B15" i="72"/>
  <c r="A3" i="51"/>
  <c r="C8" i="11"/>
  <c r="B40" i="48"/>
  <c r="B3" i="72"/>
  <c r="F35" i="4"/>
  <c r="J55" i="39"/>
  <c r="H38" i="43"/>
  <c r="H39" i="43"/>
  <c r="H40" i="43"/>
  <c r="H41" i="43"/>
  <c r="H42"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F23" i="15"/>
  <c r="D24" i="15"/>
  <c r="O10" i="1"/>
  <c r="P10" i="1"/>
  <c r="E25" i="6"/>
  <c r="E26" i="6"/>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90" i="43"/>
  <c r="G19" i="20"/>
  <c r="B87" i="43"/>
  <c r="G16" i="20"/>
  <c r="B84" i="43"/>
  <c r="G15" i="20"/>
  <c r="B83" i="43"/>
  <c r="C24" i="20"/>
  <c r="B97" i="43"/>
  <c r="B75" i="43"/>
  <c r="B99" i="43"/>
  <c r="B101" i="43"/>
  <c r="B79" i="43"/>
  <c r="B94" i="43"/>
  <c r="B61" i="43"/>
  <c r="C16" i="20"/>
  <c r="C17" i="39"/>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H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J56" i="9"/>
  <c r="J57" i="9"/>
  <c r="J59" i="9"/>
  <c r="J61" i="9"/>
  <c r="A24" i="51"/>
  <c r="B18" i="72"/>
  <c r="U29" i="34"/>
  <c r="E5" i="6"/>
  <c r="K1" i="12"/>
  <c r="E19" i="69"/>
  <c r="E19" i="68"/>
  <c r="E19" i="11"/>
  <c r="G22" i="69"/>
  <c r="G22" i="68"/>
  <c r="G26" i="12"/>
  <c r="G22" i="11"/>
  <c r="C6" i="43"/>
  <c r="B19" i="53"/>
  <c r="B37" i="72"/>
  <c r="C7" i="39"/>
  <c r="C67" i="39"/>
  <c r="C7" i="35"/>
  <c r="C7" i="33"/>
  <c r="C7" i="21"/>
  <c r="C7" i="40"/>
  <c r="C63" i="40"/>
  <c r="M47" i="9"/>
  <c r="A4" i="51"/>
  <c r="B6" i="72"/>
  <c r="C48" i="35"/>
  <c r="D48" i="35"/>
  <c r="B6" i="1"/>
  <c r="E6" i="1"/>
  <c r="O11" i="1"/>
  <c r="B9" i="1"/>
  <c r="E9"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AC38" i="21"/>
  <c r="H32" i="21"/>
  <c r="H9" i="21"/>
  <c r="J9" i="21"/>
  <c r="J32" i="21"/>
  <c r="W32" i="21"/>
  <c r="F32" i="21"/>
  <c r="AA31" i="21"/>
  <c r="U17" i="21"/>
  <c r="W29" i="21"/>
  <c r="S19" i="21"/>
  <c r="S9" i="21"/>
  <c r="K141" i="21"/>
  <c r="K144" i="21"/>
  <c r="K143" i="21"/>
  <c r="U27" i="21"/>
  <c r="AB25" i="21"/>
  <c r="AB44" i="21"/>
  <c r="AA30" i="21"/>
  <c r="W13" i="21"/>
  <c r="W42" i="21"/>
  <c r="AC45"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M22" i="67"/>
  <c r="F40" i="67"/>
  <c r="M26" i="15"/>
  <c r="F43" i="15"/>
  <c r="F36" i="67"/>
  <c r="F37" i="67"/>
  <c r="M8" i="15"/>
  <c r="F20" i="31"/>
  <c r="B10" i="76"/>
  <c r="V48" i="21"/>
  <c r="T48" i="21"/>
  <c r="R49" i="21"/>
  <c r="C49" i="21"/>
  <c r="B2" i="21"/>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M23" i="67"/>
  <c r="F7" i="73"/>
  <c r="B3" i="21"/>
  <c r="M29" i="67"/>
  <c r="M22" i="15"/>
  <c r="M9" i="15"/>
  <c r="M23" i="15"/>
  <c r="E11" i="76"/>
  <c r="M6" i="15"/>
  <c r="B12" i="76"/>
  <c r="F5" i="73"/>
  <c r="F6" i="67"/>
  <c r="M26" i="67"/>
  <c r="C76" i="15"/>
  <c r="M29" i="15"/>
  <c r="M24" i="15"/>
  <c r="B7" i="76"/>
  <c r="G9" i="1"/>
  <c r="G10"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C11" i="21"/>
  <c r="AB11" i="21"/>
  <c r="F53" i="9"/>
  <c r="C5" i="11"/>
  <c r="C4" i="12"/>
  <c r="E14" i="6"/>
  <c r="E63" i="39"/>
  <c r="I4" i="6"/>
  <c r="G3" i="43"/>
  <c r="E29" i="6"/>
  <c r="F30" i="6"/>
  <c r="G30" i="6"/>
  <c r="G31" i="6"/>
  <c r="E28"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C103" i="9"/>
  <c r="N59" i="67"/>
  <c r="L59" i="67"/>
  <c r="L58" i="67"/>
  <c r="M59" i="67"/>
  <c r="B13" i="70"/>
  <c r="M7" i="67"/>
  <c r="J6" i="67"/>
  <c r="F50" i="67"/>
  <c r="F68" i="67"/>
  <c r="F64" i="67"/>
  <c r="F68" i="15"/>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45" i="69"/>
  <c r="E60" i="40"/>
  <c r="F31" i="6"/>
  <c r="E51" i="40"/>
  <c r="E16" i="6"/>
  <c r="AC6" i="3"/>
  <c r="H6" i="3"/>
  <c r="E58" i="40"/>
  <c r="E62" i="39"/>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E8" i="70"/>
  <c r="K25" i="6"/>
  <c r="E31"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11"/>
  <c r="C23" i="11"/>
  <c r="F24" i="67"/>
  <c r="C24" i="67"/>
  <c r="F24" i="15"/>
  <c r="C24" i="15"/>
  <c r="F41" i="69"/>
  <c r="E49" i="34"/>
  <c r="O36" i="43"/>
  <c r="Q36" i="43"/>
  <c r="N36" i="43"/>
  <c r="M36" i="43"/>
  <c r="P36" i="43"/>
  <c r="C17" i="71"/>
  <c r="D18" i="71"/>
  <c r="P37" i="43"/>
  <c r="M37" i="43"/>
  <c r="Q37" i="43"/>
  <c r="O37" i="43"/>
  <c r="N37" i="43"/>
  <c r="S21" i="6"/>
  <c r="E6" i="70"/>
  <c r="C34" i="43"/>
  <c r="E34" i="43"/>
  <c r="F69" i="15"/>
  <c r="E33" i="43"/>
  <c r="S24" i="6"/>
  <c r="E11" i="70"/>
  <c r="S22" i="6"/>
  <c r="AQ8" i="1"/>
  <c r="AR8" i="1"/>
  <c r="S20" i="6"/>
  <c r="E7" i="70"/>
  <c r="AQ6" i="1"/>
  <c r="AR6" i="1"/>
  <c r="S23" i="6"/>
  <c r="E10" i="70"/>
  <c r="M25" i="6"/>
  <c r="I25" i="6"/>
  <c r="S25" i="6"/>
  <c r="S12" i="1"/>
  <c r="K27" i="6"/>
  <c r="C20" i="11"/>
  <c r="D17" i="12"/>
  <c r="C17" i="12"/>
  <c r="D10" i="11"/>
  <c r="C10" i="11"/>
  <c r="D20" i="12"/>
  <c r="C20" i="12"/>
  <c r="C18" i="12"/>
  <c r="D25" i="6"/>
  <c r="D15" i="6"/>
  <c r="M19" i="9"/>
  <c r="C118" i="9"/>
  <c r="B2" i="74"/>
  <c r="D26" i="6"/>
  <c r="D8" i="6"/>
  <c r="D14" i="6"/>
  <c r="D6" i="6"/>
  <c r="D9" i="6"/>
  <c r="D10" i="6"/>
  <c r="L19" i="9"/>
  <c r="D29" i="6"/>
  <c r="H25" i="6"/>
  <c r="C18" i="4"/>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C17" i="67"/>
  <c r="C14" i="67"/>
  <c r="C17" i="15"/>
  <c r="C25" i="11"/>
  <c r="C24" i="11"/>
  <c r="C16" i="71"/>
  <c r="D17" i="71"/>
  <c r="C18" i="67"/>
  <c r="C15" i="67"/>
  <c r="C31" i="43"/>
  <c r="E12" i="70"/>
  <c r="F34" i="11"/>
  <c r="F11" i="12"/>
  <c r="S16" i="1"/>
  <c r="E9" i="70"/>
  <c r="E2" i="70"/>
  <c r="AR9" i="1"/>
  <c r="AQ9" i="1"/>
  <c r="AQ11" i="1"/>
  <c r="AR11" i="1"/>
  <c r="AR12" i="1"/>
  <c r="T12" i="1"/>
  <c r="AQ12" i="1"/>
  <c r="AQ10" i="1"/>
  <c r="AR10" i="1"/>
  <c r="AR7" i="1"/>
  <c r="AQ7" i="1"/>
  <c r="M27" i="6"/>
  <c r="D16" i="6"/>
  <c r="R26" i="6"/>
  <c r="C15" i="12"/>
  <c r="C12" i="12"/>
  <c r="D27" i="6"/>
  <c r="D31" i="6"/>
  <c r="D8" i="74"/>
  <c r="D7" i="74"/>
  <c r="C4" i="52"/>
  <c r="B45" i="72"/>
  <c r="A10" i="51"/>
  <c r="B9" i="72"/>
  <c r="A7" i="51"/>
  <c r="B7" i="72"/>
  <c r="C21" i="9"/>
  <c r="D21" i="9"/>
  <c r="G21" i="9"/>
  <c r="R25" i="6"/>
  <c r="H69" i="39"/>
  <c r="I67" i="39"/>
  <c r="G65" i="40"/>
  <c r="H63" i="40"/>
  <c r="C43" i="37"/>
  <c r="C42" i="37"/>
  <c r="I48" i="35"/>
  <c r="C48" i="33"/>
  <c r="C49" i="33"/>
  <c r="H58" i="21"/>
  <c r="E47" i="37"/>
  <c r="F47" i="37"/>
  <c r="E46" i="37"/>
  <c r="F46" i="37"/>
  <c r="I47" i="37"/>
  <c r="J47" i="37"/>
  <c r="E53" i="33"/>
  <c r="F53" i="33"/>
  <c r="E52" i="33"/>
  <c r="F52" i="33"/>
  <c r="C33" i="15"/>
  <c r="C33" i="67"/>
  <c r="J19" i="67"/>
  <c r="B6" i="76"/>
  <c r="E6" i="76"/>
  <c r="C14" i="15"/>
  <c r="C22" i="11"/>
  <c r="C15" i="71"/>
  <c r="T16" i="71"/>
  <c r="D16" i="71"/>
  <c r="U16" i="71"/>
  <c r="C19" i="67"/>
  <c r="C20" i="67"/>
  <c r="C26" i="67"/>
  <c r="T16" i="1"/>
  <c r="C18" i="15"/>
  <c r="C15" i="15"/>
  <c r="C36" i="11"/>
  <c r="C37" i="11"/>
  <c r="C34" i="11"/>
  <c r="C23" i="12"/>
  <c r="C14" i="12"/>
  <c r="C16" i="12"/>
  <c r="C21" i="12"/>
  <c r="C22" i="12"/>
  <c r="S19" i="6"/>
  <c r="S27" i="6"/>
  <c r="I27" i="6"/>
  <c r="I5" i="6"/>
  <c r="I6" i="6"/>
  <c r="E2" i="76"/>
  <c r="B2" i="76"/>
  <c r="I69" i="39"/>
  <c r="J67" i="39"/>
  <c r="I63" i="40"/>
  <c r="H65" i="40"/>
  <c r="I58" i="21"/>
  <c r="J58" i="21"/>
  <c r="K58" i="21"/>
  <c r="L58" i="21"/>
  <c r="M58" i="21"/>
  <c r="N58" i="21"/>
  <c r="O58" i="21"/>
  <c r="H7" i="21"/>
  <c r="J48" i="35"/>
  <c r="C14" i="71"/>
  <c r="D15" i="71"/>
  <c r="F7" i="21"/>
  <c r="S7" i="21"/>
  <c r="J7" i="21"/>
  <c r="AC7" i="21"/>
  <c r="I48" i="21"/>
  <c r="C23" i="67"/>
  <c r="C29" i="67"/>
  <c r="J59" i="67"/>
  <c r="J60" i="67"/>
  <c r="Q48" i="67"/>
  <c r="C19" i="15"/>
  <c r="C20" i="15"/>
  <c r="C26" i="15"/>
  <c r="C38" i="11"/>
  <c r="C35" i="11"/>
  <c r="H27" i="6"/>
  <c r="C27" i="12"/>
  <c r="C25" i="12"/>
  <c r="B3" i="76"/>
  <c r="J69" i="39"/>
  <c r="K67" i="39"/>
  <c r="U7" i="21"/>
  <c r="AB7" i="21"/>
  <c r="G48"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23" i="15"/>
  <c r="C29" i="15"/>
  <c r="R27" i="6"/>
  <c r="L67" i="39"/>
  <c r="K69" i="39"/>
  <c r="J65" i="40"/>
  <c r="K63" i="40"/>
  <c r="I52" i="21"/>
  <c r="J52" i="21"/>
  <c r="U7" i="35"/>
  <c r="AB7" i="35"/>
  <c r="T38" i="35"/>
  <c r="G38" i="35"/>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F50" i="11"/>
  <c r="C51" i="11"/>
  <c r="C28" i="11"/>
  <c r="C27" i="11"/>
  <c r="C29" i="11"/>
  <c r="D27" i="11"/>
  <c r="C31" i="11"/>
  <c r="C52" i="11"/>
  <c r="C56" i="11"/>
  <c r="C57" i="11"/>
  <c r="B2" i="11"/>
  <c r="B3" i="11"/>
  <c r="F28" i="12"/>
  <c r="C30" i="12"/>
  <c r="C28" i="12"/>
  <c r="C29" i="12"/>
  <c r="D28" i="12"/>
  <c r="C32" i="12"/>
  <c r="B2" i="12"/>
  <c r="B3" i="12"/>
  <c r="F45" i="68"/>
  <c r="F45" i="82"/>
  <c r="F45" i="83"/>
  <c r="F45" i="84"/>
  <c r="F45" i="85"/>
  <c r="F45" i="86"/>
  <c r="B2" i="92"/>
  <c r="AO9" i="1"/>
  <c r="B9" i="70"/>
  <c r="B2" i="70"/>
  <c r="B3" i="70"/>
  <c r="C43" i="92"/>
  <c r="C45" i="92"/>
  <c r="C46" i="92"/>
  <c r="Q47" i="92"/>
  <c r="Q53" i="92"/>
  <c r="Q56" i="92"/>
  <c r="Q62" i="92"/>
  <c r="L51" i="92"/>
  <c r="Q67" i="92"/>
  <c r="Q69" i="92"/>
  <c r="Q68" i="92"/>
  <c r="Q65" i="92"/>
  <c r="Q75" i="92"/>
  <c r="C80" i="92"/>
  <c r="C79" i="92"/>
  <c r="C83" i="92"/>
  <c r="C82" i="92"/>
  <c r="C86" i="9"/>
  <c r="C93" i="9"/>
  <c r="E97" i="9"/>
  <c r="E96" i="9"/>
  <c r="C96" i="9"/>
  <c r="B53" i="72"/>
  <c r="F5" i="52"/>
  <c r="F119" i="9"/>
  <c r="B48" i="72"/>
  <c r="E4" i="52"/>
  <c r="B52" i="72"/>
  <c r="G4" i="52"/>
  <c r="E81" i="9"/>
  <c r="E80" i="9"/>
  <c r="C80" i="9"/>
  <c r="B21" i="72"/>
  <c r="D7" i="53"/>
  <c r="H102" i="9"/>
  <c r="N60" i="9"/>
  <c r="N59" i="9"/>
  <c r="N61" i="9"/>
  <c r="B22" i="72"/>
  <c r="D6" i="53"/>
  <c r="B32" i="72"/>
  <c r="D14" i="53"/>
  <c r="M55" i="9"/>
  <c r="D59" i="9"/>
  <c r="D8" i="52"/>
  <c r="B31" i="72"/>
  <c r="D15" i="53"/>
  <c r="B51" i="72"/>
  <c r="G118" i="9"/>
  <c r="F118" i="9"/>
  <c r="F4" i="52"/>
  <c r="D54" i="9"/>
  <c r="C64" i="9"/>
  <c r="C63" i="9"/>
  <c r="C67" i="9"/>
  <c r="C68" i="9"/>
  <c r="B49" i="72"/>
  <c r="D5" i="52"/>
  <c r="D119" i="9"/>
  <c r="C105" i="9"/>
  <c r="I4" i="52"/>
  <c r="M48" i="9"/>
  <c r="C73" i="9"/>
  <c r="C78" i="9"/>
  <c r="D53" i="9"/>
  <c r="D52" i="9"/>
  <c r="D122" i="9"/>
  <c r="D123" i="9"/>
  <c r="D9" i="52"/>
  <c r="D5" i="53"/>
  <c r="B20" i="72"/>
  <c r="E118" i="9"/>
  <c r="D118" i="9"/>
  <c r="D4" i="52"/>
  <c r="B47" i="72"/>
  <c r="P57" i="9"/>
  <c r="D55" i="9"/>
  <c r="M53" i="9"/>
  <c r="N57" i="9"/>
  <c r="N58" i="9"/>
  <c r="C85" i="9"/>
  <c r="C95" i="9"/>
  <c r="C97" i="9"/>
  <c r="D58" i="9"/>
  <c r="D56" i="9"/>
  <c r="M54" i="9"/>
  <c r="H108" i="9"/>
  <c r="C6" i="74"/>
  <c r="H107" i="9"/>
  <c r="D13" i="53"/>
  <c r="B30" i="72"/>
  <c r="H5" i="52"/>
  <c r="H119" i="9"/>
  <c r="H4" i="52"/>
  <c r="C104"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29C201-A1F5-4A01-A98C-A1C645F948F3}">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1A6762C-73C8-467B-9D19-2189650FD211}">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1708338E-A4E9-4094-B256-261CA5B9ABA2}">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3B8732A-DC05-418A-AC99-EBB65FEBFFB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31553CC-3C8C-4FC1-B0B0-A20D0450F807}">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<sst xmlns="http://schemas.openxmlformats.org/spreadsheetml/2006/main" count="12286" uniqueCount="3529">
  <si>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</si>
  <si>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</si>
  <si>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</si>
  <si>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</si>
  <si>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</si>
  <si>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</si>
  <si>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</si>
  <si>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</si>
  <si>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</si>
  <si>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</si>
  <si>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</si>
  <si>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</si>
  <si>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</si>
  <si>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</si>
  <si>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</si>
  <si>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</si>
  <si>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</si>
  <si>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</si>
  <si>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</si>
  <si>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</si>
  <si>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</si>
  <si>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</si>
  <si>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</si>
  <si>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</si>
  <si>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</si>
  <si>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</si>
  <si>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</si>
  <si>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</si>
  <si>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</si>
  <si>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</si>
  <si>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</si>
  <si>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</si>
  <si>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</si>
  <si>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</si>
  <si>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</si>
  <si>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</si>
  <si>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</si>
  <si>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</si>
  <si>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</si>
  <si>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</si>
  <si>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</si>
  <si>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</si>
  <si>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</si>
  <si>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</si>
  <si>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</si>
  <si>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</si>
  <si>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</si>
  <si>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</si>
  <si>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</si>
  <si>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</si>
  <si>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</si>
  <si>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</si>
  <si>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</si>
  <si>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</si>
  <si>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</si>
  <si>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</si>
  <si>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</si>
  <si>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</si>
  <si>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</si>
  <si>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</si>
  <si>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</si>
  <si>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</si>
  <si>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</si>
  <si>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</si>
  <si>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</si>
  <si>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</si>
  <si>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</si>
  <si>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</si>
  <si>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</si>
  <si>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</si>
  <si>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</si>
  <si>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</si>
  <si>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</si>
  <si>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</si>
  <si>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</si>
  <si>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</si>
  <si>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</si>
  <si>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</si>
  <si>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</si>
  <si>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</si>
  <si>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</si>
  <si>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</si>
  <si>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</si>
  <si>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</si>
  <si>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</si>
  <si>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</si>
  <si>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</si>
  <si>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</si>
  <si>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</si>
  <si>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</si>
  <si>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</si>
  <si>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</si>
  <si>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</si>
  <si>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</si>
  <si>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</si>
  <si>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</si>
  <si>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</si>
  <si>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</si>
  <si>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</si>
  <si>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</si>
  <si>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</si>
  <si>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</si>
  <si>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</si>
  <si>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</si>
  <si>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</si>
  <si>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</si>
  <si>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</si>
  <si>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</si>
  <si>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</si>
  <si>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</si>
  <si>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</si>
  <si>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</si>
  <si>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</si>
  <si>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</si>
  <si>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</si>
  <si>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</si>
  <si>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</si>
  <si>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</si>
  <si>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</si>
  <si>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</si>
  <si>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</si>
  <si>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</si>
  <si>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</si>
  <si>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</si>
  <si>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</si>
  <si>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</si>
  <si>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</si>
  <si>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</si>
  <si>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</si>
  <si>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</si>
  <si>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</si>
  <si>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</si>
  <si>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</si>
  <si>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</si>
  <si>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</si>
  <si>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</si>
  <si>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</si>
  <si>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</si>
  <si>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</si>
  <si>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</si>
  <si>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</si>
  <si>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</si>
  <si>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</si>
  <si>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</si>
  <si>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</si>
  <si>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</si>
  <si>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</si>
  <si>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</si>
  <si>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</si>
  <si>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</si>
  <si>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</si>
  <si>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</si>
  <si>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</si>
  <si>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</si>
  <si>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</si>
  <si>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</si>
  <si>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</si>
  <si>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</si>
  <si>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</si>
  <si>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</si>
  <si>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</si>
  <si>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</si>
  <si>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</si>
  <si>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</si>
  <si>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</si>
  <si>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</si>
  <si>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</si>
  <si>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</si>
  <si>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</si>
  <si>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</si>
  <si>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</si>
  <si>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</si>
  <si>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</si>
  <si>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</si>
  <si>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</si>
  <si>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</si>
  <si>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</si>
  <si>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</si>
  <si>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</si>
  <si>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</si>
  <si>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</si>
  <si>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</si>
  <si>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</si>
  <si>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</si>
  <si>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</si>
  <si>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</si>
  <si>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</si>
  <si>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</si>
  <si>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</si>
  <si>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</si>
  <si>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</si>
  <si>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</si>
  <si>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</si>
  <si>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</si>
  <si>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</si>
  <si>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</si>
  <si>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</si>
  <si>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</si>
  <si>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</si>
  <si>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</si>
  <si>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</si>
  <si>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</si>
  <si>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</si>
  <si>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</si>
  <si>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</si>
  <si>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</si>
  <si>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</si>
  <si>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</si>
  <si>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</si>
  <si>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</si>
  <si>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</si>
  <si>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</si>
  <si>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</si>
  <si>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</si>
  <si>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</si>
  <si>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</si>
  <si>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</si>
  <si>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</si>
  <si>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</si>
  <si>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</si>
  <si>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</si>
  <si>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</si>
  <si>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</si>
  <si>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</si>
  <si>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</si>
  <si>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</si>
  <si>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</si>
  <si>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</si>
  <si>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</si>
  <si>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</si>
  <si>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</si>
  <si>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</si>
  <si>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</si>
  <si>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</si>
  <si>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</si>
  <si>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</si>
  <si>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</si>
  <si>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</si>
  <si>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</si>
  <si>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</si>
  <si>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</si>
  <si>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</si>
  <si>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</si>
  <si>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</si>
  <si>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</si>
  <si>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</si>
  <si>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</si>
  <si>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</si>
  <si>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</si>
  <si>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</si>
  <si>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</si>
  <si>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</si>
  <si>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</si>
  <si>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</si>
  <si>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</si>
  <si>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</si>
  <si>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</si>
  <si>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</si>
  <si>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</si>
  <si>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</si>
  <si>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</si>
  <si>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</si>
  <si>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</si>
  <si>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</si>
  <si>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</si>
  <si>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</si>
  <si>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</si>
  <si>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</si>
  <si>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</si>
  <si>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</si>
  <si>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</si>
  <si>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</si>
  <si>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</si>
  <si>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</si>
  <si>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</si>
  <si>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</si>
  <si>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</si>
  <si>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</si>
  <si>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</si>
  <si>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</si>
  <si>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</si>
  <si>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</si>
  <si>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</si>
  <si>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</si>
  <si>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</si>
  <si>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</si>
  <si>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</si>
  <si>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</si>
  <si>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</si>
  <si>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</si>
  <si>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</si>
  <si>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</si>
  <si>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</si>
  <si>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</si>
  <si>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</si>
  <si>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</si>
  <si>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</si>
  <si>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</si>
  <si>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</si>
  <si>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</si>
  <si>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</si>
  <si>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</si>
  <si>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</si>
  <si>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</si>
  <si>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</si>
  <si>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</si>
  <si>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</si>
  <si>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</si>
  <si>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</si>
  <si>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</si>
  <si>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</si>
  <si>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</si>
  <si>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</si>
  <si>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</si>
  <si>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</si>
  <si>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</si>
  <si>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</si>
  <si>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</si>
  <si>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</si>
  <si>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</si>
  <si>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</si>
  <si>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</si>
  <si>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</si>
  <si>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</si>
  <si>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</si>
  <si>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</si>
  <si>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</si>
  <si>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</si>
  <si>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</si>
  <si>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</si>
  <si>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</si>
  <si>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</si>
  <si>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</si>
  <si>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</si>
  <si>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</si>
  <si>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</si>
  <si>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</si>
  <si>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</si>
  <si>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</si>
  <si>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</si>
  <si>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</si>
  <si>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</si>
  <si>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</si>
  <si>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</si>
  <si>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</si>
  <si>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</si>
  <si>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</si>
  <si>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</si>
  <si>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</si>
  <si>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</si>
  <si>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</si>
  <si>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</si>
  <si>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</si>
  <si>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</si>
  <si>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</si>
  <si>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</si>
  <si>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</si>
  <si>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</si>
  <si>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</si>
  <si>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</si>
  <si>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</si>
  <si>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</si>
  <si>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</si>
  <si>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</si>
  <si>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</si>
  <si>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</si>
  <si>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</si>
  <si>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</si>
  <si>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</si>
  <si>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</si>
  <si>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</si>
  <si>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</si>
  <si>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</si>
  <si>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</si>
  <si>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</si>
  <si>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</si>
  <si>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</si>
  <si>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</si>
  <si>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</si>
  <si>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</si>
  <si>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</si>
  <si>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</si>
  <si>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</si>
  <si>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</si>
  <si>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</si>
  <si>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</si>
  <si>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</si>
  <si>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</si>
  <si>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</si>
  <si>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</si>
  <si>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</si>
  <si>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</si>
  <si>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</si>
  <si>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</si>
  <si>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</si>
  <si>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</si>
  <si>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</si>
  <si>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</si>
  <si>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</si>
  <si>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</si>
  <si>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</si>
  <si>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</si>
  <si>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</si>
  <si>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</si>
  <si>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</si>
  <si>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</si>
  <si>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</si>
  <si>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</si>
  <si>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</si>
  <si>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</si>
  <si>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</si>
  <si>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</si>
  <si>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</si>
  <si>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</si>
  <si>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</si>
  <si>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</si>
  <si>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</si>
  <si>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</si>
  <si>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</si>
  <si>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</si>
  <si>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</si>
  <si>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</si>
  <si>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</si>
  <si>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</si>
  <si>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</si>
  <si>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</si>
  <si>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</si>
  <si>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</si>
  <si>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</si>
  <si>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</si>
  <si>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</si>
  <si>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</si>
  <si>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</si>
  <si>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</si>
  <si>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</si>
  <si>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</si>
  <si>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</si>
  <si>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</si>
  <si>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</si>
  <si>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</si>
  <si>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</si>
  <si>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</si>
  <si>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</si>
  <si>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</si>
  <si>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</si>
  <si>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</si>
  <si>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</si>
  <si>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</si>
  <si>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</si>
  <si>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</si>
  <si>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</si>
  <si>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</si>
  <si>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</si>
  <si>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</si>
  <si>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</si>
  <si>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</si>
  <si>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</si>
  <si>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</si>
  <si>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</si>
  <si>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</si>
  <si>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</si>
  <si>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</si>
  <si>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</si>
  <si>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</si>
  <si>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</si>
  <si>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</si>
  <si>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</si>
  <si>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</si>
  <si>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</si>
  <si>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</si>
  <si>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</si>
  <si>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</si>
  <si>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</si>
  <si>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</si>
  <si>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</si>
  <si>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</si>
  <si>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</si>
  <si>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</si>
  <si>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</si>
  <si>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</si>
  <si>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</si>
  <si>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</si>
  <si>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</si>
  <si>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</si>
  <si>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</si>
  <si>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</si>
  <si>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</si>
  <si>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</si>
  <si>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</si>
  <si>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</si>
  <si>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</si>
  <si>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</si>
  <si>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</si>
  <si>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</si>
  <si>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</si>
  <si>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</si>
  <si>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</si>
  <si>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</si>
  <si>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</si>
  <si>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</si>
  <si>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</si>
  <si>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</si>
  <si>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</si>
  <si>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</si>
  <si>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</si>
  <si>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</si>
  <si>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</si>
  <si>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</si>
  <si>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</si>
  <si>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</si>
  <si>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</si>
  <si>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</si>
  <si>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</si>
  <si>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</si>
  <si>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</si>
  <si>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</si>
  <si>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</si>
  <si>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</si>
  <si>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</si>
  <si>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</si>
  <si>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</si>
  <si>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</si>
  <si>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</si>
  <si>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</si>
  <si>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</si>
  <si>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</si>
  <si>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</si>
  <si>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</si>
  <si>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</si>
  <si>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</si>
  <si>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</si>
  <si>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</si>
  <si>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</si>
  <si>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</si>
  <si>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</si>
  <si>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</si>
  <si>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</si>
  <si>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</si>
  <si>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</si>
  <si>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</si>
  <si>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</si>
  <si>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</si>
  <si>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</si>
  <si>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</si>
  <si>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</si>
  <si>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</si>
  <si>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</si>
  <si>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</si>
  <si>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</si>
  <si>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</si>
  <si>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</si>
  <si>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</si>
  <si>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</si>
  <si>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</si>
  <si>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</si>
  <si>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</si>
  <si>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</si>
  <si>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</si>
  <si>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</si>
  <si>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</si>
  <si>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</si>
  <si>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</si>
  <si>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</si>
  <si>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</si>
  <si>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</si>
  <si>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</si>
  <si>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</si>
  <si>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</si>
  <si>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</si>
  <si>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</si>
  <si>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</si>
  <si>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</si>
  <si>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</si>
  <si>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</si>
  <si>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</si>
  <si>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</si>
  <si>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</si>
  <si>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</si>
  <si>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</si>
  <si>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</si>
  <si>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</si>
  <si>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</si>
  <si>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</si>
  <si>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</si>
  <si>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</si>
  <si>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</si>
  <si>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</si>
  <si>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</si>
  <si>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</si>
  <si>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</si>
  <si>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</si>
  <si>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</si>
  <si>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</si>
  <si>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</si>
  <si>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</si>
  <si>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</si>
  <si>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</si>
  <si>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</si>
  <si>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</si>
  <si>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</si>
  <si>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</si>
  <si>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</si>
  <si>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</si>
  <si>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</si>
  <si>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</si>
  <si>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</si>
  <si>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</si>
  <si>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</si>
  <si>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</si>
  <si>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</si>
  <si>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</si>
  <si>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</si>
  <si>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</si>
  <si>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</si>
  <si>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</si>
  <si>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</si>
  <si>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</si>
  <si>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</si>
  <si>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</si>
  <si>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</si>
  <si>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</si>
  <si>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</si>
  <si>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</si>
  <si>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</si>
  <si>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</si>
  <si>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</si>
  <si>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</si>
  <si>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</si>
  <si>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</si>
  <si>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</si>
  <si>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</si>
  <si>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</si>
  <si>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</si>
  <si>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</si>
  <si>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</si>
  <si>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</si>
  <si>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</si>
  <si>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</si>
  <si>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</si>
  <si>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</si>
  <si>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</si>
  <si>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</si>
  <si>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</si>
  <si>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</si>
  <si>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</si>
  <si>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</si>
  <si>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</si>
  <si>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</si>
  <si>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</si>
  <si>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</si>
  <si>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</si>
  <si>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</si>
  <si>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</si>
  <si>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</si>
  <si>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</si>
  <si>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</si>
  <si>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</si>
  <si>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</si>
  <si>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</si>
  <si>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</si>
  <si>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</si>
  <si>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</si>
  <si>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</si>
  <si>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</si>
  <si>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</si>
  <si>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</si>
  <si>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</si>
  <si>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</si>
  <si>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</si>
  <si>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</si>
  <si>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</si>
  <si>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</si>
  <si>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</si>
  <si>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</si>
  <si>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</si>
  <si>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</si>
  <si>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</si>
  <si>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</si>
  <si>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</si>
  <si>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</si>
  <si>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</si>
  <si>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</si>
  <si>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</si>
  <si>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</si>
  <si>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</si>
  <si>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</si>
  <si>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</si>
  <si>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</si>
  <si>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</si>
  <si>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</si>
  <si>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</si>
  <si>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</si>
  <si>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</si>
  <si>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</si>
  <si>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</si>
  <si>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</si>
  <si>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</si>
  <si>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</si>
  <si>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</si>
  <si>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</si>
  <si>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</si>
  <si>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</si>
  <si>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</si>
  <si>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</si>
  <si>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</si>
  <si>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</si>
  <si>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</si>
  <si>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</si>
  <si>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</si>
  <si>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</si>
  <si>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</si>
  <si>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</si>
  <si>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</si>
  <si>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</si>
  <si>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</si>
  <si>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</si>
  <si>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</si>
  <si>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</si>
  <si>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</si>
  <si>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</si>
  <si>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</si>
  <si>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</si>
  <si>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</si>
  <si>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</si>
  <si>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</si>
  <si>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</si>
  <si>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</si>
  <si>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</si>
  <si>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</si>
  <si>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</si>
  <si>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</si>
  <si>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</si>
  <si>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</si>
  <si>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</si>
  <si>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</si>
  <si>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</si>
  <si>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</si>
  <si>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</si>
  <si>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</si>
  <si>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</si>
  <si>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</si>
  <si>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</si>
  <si>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</si>
  <si>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</si>
  <si>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</si>
  <si>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</si>
  <si>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</si>
  <si>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</si>
  <si>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</si>
  <si>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</si>
  <si>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</si>
  <si>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</si>
  <si>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</si>
  <si>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</si>
  <si>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</si>
  <si>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</si>
  <si>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</si>
  <si>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</si>
  <si>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</si>
  <si>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</si>
  <si>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</si>
  <si>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</si>
  <si>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</si>
  <si>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</si>
  <si>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</si>
  <si>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</si>
  <si>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</si>
  <si>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</si>
  <si>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</si>
  <si>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</si>
  <si>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</si>
  <si>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</si>
  <si>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</si>
  <si>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</si>
  <si>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</si>
  <si>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</si>
  <si>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</si>
  <si>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</si>
  <si>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</si>
  <si>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</si>
  <si>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</si>
  <si>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</si>
  <si>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</si>
  <si>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</si>
  <si>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</si>
  <si>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</si>
  <si>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</si>
  <si>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</si>
  <si>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</si>
  <si>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</si>
  <si>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</si>
  <si>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</si>
  <si>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</si>
  <si>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</si>
  <si>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</si>
  <si>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</si>
  <si>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</si>
  <si>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</si>
  <si>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</si>
  <si>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</si>
  <si>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</si>
  <si>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</si>
  <si>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</si>
  <si>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</si>
  <si>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</si>
  <si>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</si>
  <si>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</si>
  <si>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</si>
  <si>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</si>
  <si>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</si>
  <si>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</si>
  <si>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</si>
  <si>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</si>
  <si>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</si>
  <si>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</si>
  <si>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</si>
  <si>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</si>
  <si>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</si>
  <si>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</si>
  <si>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</si>
  <si>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</si>
  <si>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</si>
  <si>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</si>
  <si>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</si>
  <si>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</si>
  <si>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</si>
  <si>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</si>
  <si>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</si>
  <si>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</si>
  <si>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</si>
  <si>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</si>
  <si>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</si>
  <si>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</si>
  <si>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</si>
  <si>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</si>
  <si>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</si>
  <si>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</si>
  <si>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</si>
  <si>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</si>
  <si>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</si>
  <si>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</si>
  <si>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</si>
  <si>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</si>
  <si>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</si>
  <si>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</si>
  <si>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</si>
  <si>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</si>
  <si>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</si>
  <si>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</si>
  <si>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</si>
  <si>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</si>
  <si>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</si>
  <si>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</si>
  <si>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</si>
  <si>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</si>
  <si>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</si>
  <si>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</si>
  <si>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</si>
  <si>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</si>
  <si>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</si>
  <si>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</si>
  <si>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</si>
  <si>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</si>
  <si>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</si>
  <si>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</si>
  <si>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</si>
  <si>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</si>
  <si>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</si>
  <si>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</si>
  <si>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</si>
  <si>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</si>
  <si>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</si>
  <si>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</si>
  <si>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</si>
  <si>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</si>
  <si>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</si>
  <si>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</si>
  <si>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</si>
  <si>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</si>
  <si>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</si>
  <si>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</si>
  <si>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</si>
  <si>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</si>
  <si>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</si>
  <si>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</si>
  <si>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</si>
  <si>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</si>
  <si>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</si>
  <si>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</si>
  <si>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</si>
  <si>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</si>
  <si>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</si>
  <si>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</si>
  <si>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</si>
  <si>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</si>
  <si>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</si>
  <si>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</si>
  <si>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</si>
  <si>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</si>
  <si>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</si>
  <si>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</si>
  <si>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</si>
  <si>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</si>
  <si>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</si>
  <si>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</si>
  <si>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</si>
  <si>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</si>
  <si>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</si>
  <si>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</si>
  <si>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</si>
  <si>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</si>
  <si>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</si>
  <si>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</si>
  <si>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</si>
  <si>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</si>
  <si>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</si>
  <si>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</si>
  <si>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</si>
  <si>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</si>
  <si>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</si>
  <si>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</si>
  <si>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</si>
  <si>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</si>
  <si>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</si>
  <si>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</si>
  <si>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</si>
  <si>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</si>
  <si>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</si>
  <si>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</si>
  <si>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</si>
  <si>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</si>
  <si>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</si>
  <si>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</si>
  <si>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</si>
  <si>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</si>
  <si>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</si>
  <si>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</si>
  <si>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</si>
  <si>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</si>
  <si>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</si>
  <si>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</si>
  <si>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</si>
  <si>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</si>
  <si>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</si>
  <si>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</si>
  <si>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</si>
  <si>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</si>
  <si>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</si>
  <si>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</si>
  <si>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</si>
  <si>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</si>
  <si>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</si>
  <si>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</si>
  <si>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</si>
  <si>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</si>
  <si>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</si>
  <si>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</si>
  <si>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</si>
  <si>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</si>
  <si>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</si>
  <si>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</si>
  <si>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</si>
  <si>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</si>
  <si>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</si>
  <si>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</si>
  <si>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</si>
  <si>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</si>
  <si>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</si>
  <si>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</si>
  <si>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</si>
  <si>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</si>
  <si>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</si>
  <si>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</si>
  <si>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</si>
  <si>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</si>
  <si>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</si>
  <si>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</si>
  <si>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</si>
  <si>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</si>
  <si>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</si>
  <si>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</si>
  <si>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</si>
  <si>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</si>
  <si>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</si>
  <si>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</si>
  <si>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</si>
  <si>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</si>
  <si>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</si>
  <si>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</si>
  <si>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</si>
  <si>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</si>
  <si>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</si>
  <si>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</si>
  <si>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</si>
  <si>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</si>
  <si>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</si>
  <si>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</si>
  <si>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</si>
  <si>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</si>
  <si>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</si>
  <si>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</si>
  <si>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</si>
  <si>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</si>
  <si>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</si>
  <si>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</si>
  <si>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</si>
  <si>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</si>
  <si>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</si>
  <si>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</si>
  <si>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</si>
  <si>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</si>
  <si>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</si>
  <si>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</si>
  <si>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</si>
  <si>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</si>
  <si>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</si>
  <si>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</si>
  <si>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</si>
  <si>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</si>
  <si>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</si>
  <si>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</si>
  <si>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</si>
  <si>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</si>
  <si>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</si>
  <si>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</si>
  <si>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</si>
  <si>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</si>
  <si>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</si>
  <si>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</si>
  <si>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</si>
  <si>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</si>
  <si>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</si>
  <si>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</si>
  <si>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</si>
  <si>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</si>
  <si>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</si>
  <si>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</si>
  <si>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</si>
  <si>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</si>
  <si>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</si>
  <si>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</si>
  <si>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</si>
  <si>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</si>
  <si>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</si>
  <si>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</si>
  <si>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</si>
  <si>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</si>
  <si>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</si>
  <si>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</si>
  <si>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</si>
  <si>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</si>
  <si>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</si>
  <si>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</si>
  <si>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</si>
  <si>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</si>
  <si>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</si>
  <si>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</si>
  <si>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</si>
  <si>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</si>
  <si>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</si>
  <si>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</si>
  <si>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</si>
  <si>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</si>
  <si>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</si>
  <si>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</si>
  <si>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</si>
  <si>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</si>
  <si>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</si>
  <si>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</si>
  <si>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</si>
  <si>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</si>
  <si>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</si>
  <si>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</si>
  <si>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</si>
  <si>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</si>
  <si>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</si>
  <si>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</si>
  <si>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</si>
  <si>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</si>
  <si>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</si>
  <si>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</si>
  <si>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</si>
  <si>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</si>
  <si>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</si>
  <si>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</si>
  <si>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</si>
  <si>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</si>
  <si>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</si>
  <si>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</si>
  <si>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</si>
  <si>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</si>
  <si>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</si>
  <si>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</si>
  <si>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</si>
  <si>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</si>
  <si>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</si>
  <si>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</si>
  <si>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</si>
  <si>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</si>
  <si>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</si>
  <si>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</si>
  <si>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</si>
  <si>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</si>
  <si>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</si>
  <si>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</si>
  <si>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</si>
  <si>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</si>
  <si>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</si>
  <si>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</si>
  <si>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</si>
  <si>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</si>
  <si>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</si>
  <si>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</si>
  <si>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</si>
  <si>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</si>
  <si>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</si>
  <si>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</si>
  <si>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</si>
  <si>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</si>
  <si>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</si>
  <si>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</si>
  <si>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</si>
  <si>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</si>
  <si>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</si>
  <si>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</si>
  <si>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</si>
  <si>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</si>
  <si>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</si>
  <si>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</si>
  <si>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</si>
  <si>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</si>
  <si>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</si>
  <si>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</si>
  <si>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</si>
  <si>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</si>
  <si>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</si>
  <si>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</si>
  <si>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</si>
  <si>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</si>
  <si>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</si>
  <si>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</si>
  <si>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</si>
  <si>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</si>
  <si>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</si>
  <si>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</si>
  <si>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</si>
  <si>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</si>
  <si>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</si>
  <si>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</si>
  <si>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</si>
  <si>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</si>
  <si>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</si>
  <si>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</si>
  <si>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</si>
  <si>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</si>
  <si>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</si>
  <si>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</si>
  <si>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</si>
  <si>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</si>
  <si>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</si>
  <si>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</si>
  <si>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</si>
  <si>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</si>
  <si>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</si>
  <si>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</si>
  <si>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</si>
  <si>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</si>
  <si>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</si>
  <si>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</si>
  <si>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</si>
  <si>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</si>
  <si>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</si>
  <si>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</si>
  <si>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</si>
  <si>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</si>
  <si>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</si>
  <si>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</si>
  <si>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</si>
  <si>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</si>
  <si>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</si>
  <si>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</si>
  <si>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</si>
  <si>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</si>
  <si>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</si>
  <si>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</si>
  <si>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</si>
  <si>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</si>
  <si>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</si>
  <si>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</si>
  <si>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</si>
  <si>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</si>
  <si>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</si>
  <si>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</si>
  <si>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</si>
  <si>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</si>
  <si>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</si>
  <si>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</si>
  <si>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</si>
  <si>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</si>
  <si>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</si>
  <si>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</si>
  <si>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</si>
  <si>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</si>
  <si>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</si>
  <si>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</si>
  <si>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</si>
  <si>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</si>
  <si>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</si>
  <si>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</si>
  <si>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</si>
  <si>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</si>
  <si>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</si>
  <si>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</si>
  <si>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</si>
  <si>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</si>
  <si>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</si>
  <si>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</si>
  <si>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</si>
  <si>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</si>
  <si>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</si>
  <si>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</si>
  <si>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</si>
  <si>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</si>
  <si>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</si>
  <si>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</si>
  <si>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</si>
  <si>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</si>
  <si>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</si>
  <si>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</si>
  <si>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</si>
  <si>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</si>
  <si>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</si>
  <si>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</si>
  <si>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</si>
  <si>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</si>
  <si>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</si>
  <si>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</si>
  <si>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</si>
  <si>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</si>
  <si>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</si>
  <si>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</si>
  <si>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</si>
  <si>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</si>
  <si>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</si>
  <si>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</si>
  <si>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</si>
  <si>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</si>
  <si>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</si>
  <si>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</si>
  <si>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</si>
  <si>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</si>
  <si>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</si>
  <si>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</si>
  <si>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</si>
  <si>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</si>
  <si>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</si>
  <si>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</si>
  <si>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</si>
  <si>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</si>
  <si>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</si>
  <si>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</si>
  <si>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</si>
  <si>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</si>
  <si>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</si>
  <si>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</si>
  <si>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</si>
  <si>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</si>
  <si>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</si>
  <si>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</si>
  <si>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</si>
  <si>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</si>
  <si>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</si>
  <si>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</si>
  <si>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</si>
  <si>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</si>
  <si>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</si>
  <si>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</si>
  <si>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</si>
  <si>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</si>
  <si>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</si>
  <si>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</si>
  <si>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</si>
  <si>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</si>
  <si>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</si>
  <si>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</si>
  <si>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</si>
  <si>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</si>
  <si>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</si>
  <si>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</si>
  <si>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</si>
  <si>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</si>
  <si>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</si>
  <si>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</si>
  <si>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</si>
  <si>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</si>
  <si>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</si>
  <si>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</si>
  <si>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</si>
  <si>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</si>
  <si>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</si>
  <si>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</si>
  <si>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</si>
  <si>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</si>
  <si>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</si>
  <si>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</si>
  <si>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</si>
  <si>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</si>
  <si>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</si>
  <si>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</si>
  <si>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</si>
  <si>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</si>
  <si>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</si>
  <si>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</si>
  <si>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</si>
  <si>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</si>
  <si>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</si>
  <si>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</si>
  <si>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</si>
  <si>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</si>
  <si>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</si>
  <si>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</si>
  <si>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</si>
  <si>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</si>
  <si>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</si>
  <si>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</si>
  <si>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</si>
  <si>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</si>
  <si>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</si>
  <si>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</si>
  <si>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</si>
  <si>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</si>
  <si>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</si>
  <si>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</si>
  <si>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</si>
  <si>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</si>
  <si>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</si>
  <si>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</si>
  <si>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</si>
  <si>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</si>
  <si>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</si>
  <si>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</si>
  <si>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</si>
  <si>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</si>
  <si>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</si>
  <si>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</si>
  <si>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</si>
  <si>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</si>
  <si>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</si>
  <si>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</si>
  <si>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</si>
  <si>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</si>
  <si>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</si>
  <si>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</si>
  <si>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</si>
  <si>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</si>
  <si>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</si>
  <si>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</si>
  <si>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</si>
  <si>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</si>
  <si>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</si>
  <si>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</si>
  <si>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</si>
  <si>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</si>
  <si>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</si>
  <si>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</si>
  <si>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</si>
  <si>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</si>
  <si>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</si>
  <si>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</si>
  <si>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</si>
  <si>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</si>
  <si>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</si>
  <si>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</si>
  <si>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</si>
  <si>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</si>
  <si>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</si>
  <si>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</si>
  <si>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</si>
  <si>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</si>
  <si>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</si>
  <si>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</si>
  <si>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</si>
  <si>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</si>
  <si>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</si>
  <si>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</si>
  <si>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</si>
  <si>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</si>
  <si>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</si>
  <si>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</si>
  <si>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</si>
  <si>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</si>
  <si>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</si>
  <si>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</si>
  <si>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</si>
  <si>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</si>
  <si>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</si>
  <si>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</si>
  <si>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</si>
  <si>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</si>
  <si>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</si>
  <si>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</si>
  <si>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</si>
  <si>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</si>
  <si>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</si>
  <si>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</si>
  <si>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</si>
  <si>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</si>
  <si>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</si>
  <si>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</si>
  <si>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</si>
  <si>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</si>
  <si>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</si>
  <si>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</si>
  <si>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</si>
  <si>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</si>
  <si>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</si>
  <si>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</si>
  <si>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</si>
  <si>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</si>
  <si>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</si>
  <si>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</si>
  <si>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</si>
  <si>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</si>
  <si>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</si>
  <si>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</si>
  <si>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</si>
  <si>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</si>
  <si>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</si>
  <si>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</si>
  <si>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</si>
  <si>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</si>
  <si>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</si>
  <si>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</si>
  <si>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</si>
  <si>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</si>
  <si>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</si>
  <si>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</si>
  <si>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</si>
  <si>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</si>
  <si>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</si>
  <si>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</si>
  <si>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</si>
  <si>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</si>
  <si>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</si>
  <si>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</si>
  <si>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</si>
  <si>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</si>
  <si>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</si>
  <si>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</si>
  <si>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</si>
  <si>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</si>
  <si>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</si>
  <si>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</si>
  <si>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</si>
  <si>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</si>
  <si>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</si>
  <si>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</si>
  <si>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</si>
  <si>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</si>
  <si>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</si>
  <si>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</si>
  <si>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</si>
  <si>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</si>
  <si>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</si>
  <si>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</si>
  <si>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</si>
  <si>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</si>
  <si>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</si>
  <si>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</si>
  <si>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</si>
  <si>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</si>
  <si>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</si>
  <si>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</si>
  <si>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</si>
  <si>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</si>
  <si>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</si>
  <si>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</si>
  <si>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</si>
  <si>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</si>
  <si>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</si>
  <si>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</si>
  <si>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</si>
  <si>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</si>
  <si>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</si>
  <si>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</si>
  <si>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</si>
  <si>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</si>
  <si>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</si>
  <si>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</si>
  <si>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</si>
  <si>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</si>
  <si>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</si>
  <si>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</si>
  <si>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</si>
  <si>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</si>
  <si>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</si>
  <si>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</si>
  <si>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</si>
  <si>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</si>
  <si>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</si>
  <si>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</si>
  <si>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</si>
  <si>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</si>
  <si>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</si>
  <si>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</si>
  <si>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</si>
  <si>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</si>
  <si>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</si>
  <si>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</si>
  <si>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</si>
  <si>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</si>
  <si>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</si>
  <si>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</si>
  <si>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</si>
  <si>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</si>
  <si>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</si>
  <si>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</si>
  <si>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</si>
  <si>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</si>
  <si>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</si>
  <si>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</si>
  <si>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</si>
  <si>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</si>
  <si>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</si>
  <si>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</si>
  <si>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</si>
  <si>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</si>
  <si>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</si>
  <si>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</si>
  <si>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</si>
  <si>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</si>
  <si>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</si>
  <si>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</si>
  <si>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</si>
  <si>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</si>
  <si>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</si>
  <si>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</si>
  <si>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</si>
  <si>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</si>
  <si>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</si>
  <si>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</si>
  <si>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</si>
  <si>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</si>
  <si>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</si>
  <si>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</si>
  <si>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</si>
  <si>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</si>
  <si>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</si>
  <si>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</si>
  <si>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</si>
  <si>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</si>
  <si>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</si>
  <si>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</si>
  <si>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</si>
  <si>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</si>
  <si>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</si>
  <si>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</si>
  <si>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</si>
  <si>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</si>
  <si>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</si>
  <si>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</si>
  <si>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</si>
  <si>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</si>
  <si>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</si>
  <si>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</si>
  <si>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</si>
  <si>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</si>
  <si>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</si>
  <si>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</si>
  <si>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</si>
  <si>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</si>
  <si>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</si>
  <si>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</si>
  <si>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</si>
  <si>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</si>
  <si>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</si>
  <si>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</si>
  <si>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</si>
  <si>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</si>
  <si>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</si>
  <si>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</si>
  <si>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</si>
  <si>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</si>
  <si>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</si>
  <si>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</si>
  <si>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</si>
  <si>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</si>
  <si>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</si>
  <si>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</si>
  <si>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</si>
  <si>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</si>
  <si>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</si>
  <si>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</si>
  <si>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</si>
  <si>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</si>
  <si>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</si>
  <si>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</si>
  <si>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</si>
  <si>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</si>
  <si>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</si>
  <si>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</si>
  <si>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</si>
  <si>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</si>
  <si>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</si>
  <si>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</si>
  <si>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</si>
  <si>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</si>
  <si>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</si>
  <si>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</si>
  <si>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</si>
  <si>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</si>
  <si>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</si>
  <si>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</si>
  <si>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</si>
  <si>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</si>
  <si>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</si>
  <si>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</si>
  <si>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</si>
  <si>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</si>
  <si>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</si>
  <si>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</si>
  <si>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</si>
  <si>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</si>
  <si>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</si>
  <si>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</si>
  <si>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</si>
  <si>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</si>
  <si>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</si>
  <si>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</si>
  <si>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</si>
  <si>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</si>
  <si>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</si>
  <si>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</si>
  <si>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</si>
  <si>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</si>
  <si>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</si>
  <si>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</si>
  <si>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</si>
  <si>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</si>
  <si>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</si>
  <si>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</si>
  <si>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</si>
  <si>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</si>
  <si>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</si>
  <si>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</si>
  <si>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</si>
  <si>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</si>
  <si>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</si>
  <si>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</si>
  <si>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</si>
  <si>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</si>
  <si>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</si>
  <si>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</si>
  <si>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</si>
  <si>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</si>
  <si>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</si>
  <si>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</si>
  <si>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</si>
  <si>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</si>
  <si>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</si>
  <si>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</si>
  <si>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</si>
  <si>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</si>
  <si>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</si>
  <si>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</si>
  <si>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</si>
  <si>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</si>
  <si>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</si>
  <si>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</si>
  <si>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</si>
  <si>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</si>
  <si>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</si>
  <si>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</si>
  <si>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</si>
  <si>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</si>
  <si>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</si>
  <si>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</si>
  <si>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</si>
  <si>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</si>
  <si>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</si>
  <si>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</si>
  <si>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</si>
  <si>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</si>
  <si>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</si>
  <si>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</si>
  <si>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</si>
  <si>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</si>
  <si>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</si>
  <si>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</si>
  <si>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</si>
  <si>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</si>
  <si>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</si>
  <si>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</si>
  <si>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</si>
  <si>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</si>
  <si>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</si>
  <si>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</si>
  <si>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</si>
  <si>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</si>
  <si>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</si>
  <si>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</si>
  <si>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</si>
  <si>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</si>
  <si>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</si>
  <si>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</si>
  <si>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</si>
  <si>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</si>
  <si>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</si>
  <si>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</si>
  <si>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</si>
  <si>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</si>
  <si>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</si>
  <si>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</si>
  <si>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</si>
  <si>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</si>
  <si>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</si>
  <si>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</si>
  <si>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</si>
  <si>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</si>
  <si>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</si>
  <si>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</si>
  <si>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</si>
  <si>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</si>
  <si>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</si>
  <si>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</si>
  <si>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</si>
  <si>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</si>
  <si>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</si>
  <si>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</si>
  <si>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</si>
  <si>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</si>
  <si>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</si>
  <si>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</si>
  <si>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</si>
  <si>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</si>
  <si>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</si>
  <si>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</si>
  <si>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</si>
  <si>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</si>
  <si>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</si>
  <si>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</si>
  <si>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</si>
  <si>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</si>
  <si>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</si>
  <si>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</si>
  <si>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</si>
  <si>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</si>
  <si>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</si>
  <si>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</si>
  <si>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</si>
  <si>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</si>
  <si>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</si>
  <si>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</si>
  <si>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</si>
  <si>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</si>
  <si>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</si>
  <si>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</si>
  <si>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</si>
  <si>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</si>
  <si>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</si>
  <si>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</si>
  <si>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</si>
  <si>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</si>
  <si>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</si>
  <si>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</si>
  <si>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</si>
  <si>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</si>
  <si>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</si>
  <si>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</si>
  <si>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</si>
  <si>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</si>
  <si>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</si>
  <si>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</si>
  <si>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</si>
  <si>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</si>
  <si>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</si>
  <si>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</si>
  <si>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</si>
  <si>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</si>
  <si>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</si>
  <si>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</si>
  <si>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</si>
  <si>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</si>
  <si>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</si>
  <si>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</si>
  <si>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</si>
  <si>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</si>
  <si>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</si>
  <si>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</si>
  <si>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</si>
  <si>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</si>
  <si>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</si>
  <si>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</si>
  <si>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</si>
  <si>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</si>
  <si>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</si>
  <si>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</si>
  <si>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</si>
  <si>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</si>
  <si>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</si>
  <si>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</si>
  <si>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</si>
  <si>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</si>
  <si>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</si>
  <si>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</si>
  <si>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</si>
  <si>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</si>
  <si>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</si>
  <si>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</si>
  <si>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</si>
  <si>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</si>
  <si>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</si>
  <si>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</si>
  <si>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</si>
  <si>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</si>
  <si>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</si>
  <si>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</si>
  <si>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</si>
  <si>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</si>
  <si>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</si>
  <si>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</si>
  <si>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</si>
  <si>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</si>
  <si>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</si>
  <si>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</si>
  <si>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</si>
  <si>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</si>
  <si>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</si>
  <si>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</si>
  <si>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</si>
  <si>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</si>
  <si>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</si>
  <si>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</si>
  <si>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</si>
  <si>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</si>
  <si>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</si>
  <si>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</si>
  <si>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</si>
  <si>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</si>
  <si>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</si>
  <si>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</si>
  <si>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</si>
  <si>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</si>
  <si>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</si>
  <si>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</si>
  <si>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</si>
  <si>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</si>
  <si>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</si>
  <si>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</si>
  <si>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</si>
  <si>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</si>
  <si>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</si>
  <si>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</si>
  <si>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</si>
  <si>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</si>
  <si>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</si>
  <si>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</si>
  <si>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</si>
  <si>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</si>
  <si>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</si>
  <si>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</si>
  <si>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</si>
  <si>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</si>
  <si>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</si>
  <si>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</si>
  <si>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</si>
  <si>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</si>
  <si>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</si>
  <si>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</si>
  <si>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</si>
  <si>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</si>
  <si>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</si>
  <si>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</si>
  <si>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</si>
  <si>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</si>
  <si>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</si>
  <si>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</si>
  <si>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</si>
  <si>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</si>
  <si>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</si>
  <si>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</si>
  <si>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</si>
  <si>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</si>
  <si>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</si>
  <si>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</si>
  <si>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</si>
  <si>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</si>
  <si>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</si>
  <si>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</si>
  <si>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</si>
  <si>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</si>
  <si>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</si>
  <si>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</si>
  <si>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</si>
  <si>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</si>
  <si>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</si>
  <si>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</si>
  <si>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</si>
  <si>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</si>
  <si>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</si>
  <si>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</si>
  <si>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</si>
  <si>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</si>
  <si>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</si>
  <si>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</si>
  <si>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</si>
  <si>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</si>
  <si>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</si>
  <si>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</si>
  <si>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</si>
  <si>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</si>
  <si>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</si>
  <si>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</si>
  <si>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</si>
  <si>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</si>
  <si>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</si>
  <si>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</si>
  <si>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</si>
  <si>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</si>
  <si>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</si>
  <si>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</si>
  <si>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</si>
  <si>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</si>
  <si>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</si>
  <si>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</si>
  <si>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</si>
  <si>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</si>
  <si>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</si>
  <si>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</si>
  <si>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</si>
  <si>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</si>
  <si>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</si>
  <si>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</si>
  <si>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</si>
  <si>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</si>
  <si>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</si>
  <si>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</si>
  <si>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</si>
  <si>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</si>
  <si>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</si>
  <si>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</si>
  <si>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</si>
  <si>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</si>
  <si>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</si>
  <si>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</si>
  <si>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</si>
  <si>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</si>
  <si>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</si>
  <si>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</si>
  <si>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</si>
  <si>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</si>
  <si>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</si>
  <si>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</si>
  <si>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</si>
  <si>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</si>
  <si>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</si>
  <si>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</si>
  <si>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</si>
  <si>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</si>
  <si>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</si>
  <si>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</si>
  <si>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</si>
  <si>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</si>
  <si>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</si>
  <si>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</si>
  <si>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</si>
  <si>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</si>
  <si>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</si>
  <si>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</si>
  <si>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</si>
  <si>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</si>
  <si>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</si>
  <si>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</si>
  <si>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</si>
  <si>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</si>
  <si>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</si>
  <si>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</si>
  <si>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</si>
  <si>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</si>
  <si>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</si>
  <si>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</si>
  <si>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</si>
  <si>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</si>
  <si>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</si>
  <si>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</si>
  <si>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</si>
  <si>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</si>
  <si>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</si>
  <si>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</si>
  <si>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</si>
  <si>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</si>
  <si>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</si>
  <si>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</si>
  <si>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</si>
  <si>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</si>
  <si>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</si>
  <si>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</si>
  <si>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</si>
  <si>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</si>
  <si>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</si>
  <si>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</si>
  <si>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</si>
  <si>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</si>
  <si>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</si>
  <si>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</si>
  <si>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</si>
  <si>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</si>
  <si>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</si>
  <si>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</si>
  <si>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</si>
  <si>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</si>
  <si>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</si>
  <si>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</si>
  <si>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</si>
  <si>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</si>
  <si>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</si>
  <si>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</si>
  <si>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</si>
  <si>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</si>
  <si>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</si>
  <si>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</si>
  <si>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</si>
  <si>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</si>
  <si>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</si>
  <si>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</si>
  <si>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</si>
  <si>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</si>
  <si>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</si>
  <si>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</si>
  <si>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</si>
  <si>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</si>
  <si>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</si>
  <si>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</si>
  <si>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</si>
  <si>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</si>
  <si>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</si>
  <si>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</si>
  <si>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</si>
  <si>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</si>
  <si>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</si>
  <si>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</si>
  <si>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</si>
  <si>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</si>
  <si>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</si>
  <si>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</si>
  <si>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</si>
  <si>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</si>
  <si>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</si>
  <si>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</si>
  <si>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</si>
  <si>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</si>
  <si>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</si>
  <si>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</si>
  <si>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</si>
  <si>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</si>
  <si>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</si>
  <si>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</si>
  <si>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</si>
  <si>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</si>
  <si>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</si>
  <si>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</si>
  <si>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</si>
  <si>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</si>
  <si>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</si>
  <si>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</si>
  <si>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</si>
  <si>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</si>
  <si>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</si>
  <si>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</si>
  <si>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</si>
  <si>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</si>
  <si>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</si>
  <si>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</si>
  <si>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</si>
  <si>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</si>
  <si>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</si>
  <si>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</si>
  <si>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</si>
  <si>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</si>
  <si>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</si>
  <si>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</si>
  <si>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</si>
  <si>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</si>
  <si>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</si>
  <si>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</si>
  <si>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</si>
  <si>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</si>
  <si>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</si>
  <si>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</si>
  <si>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</si>
  <si>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</si>
  <si>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</si>
  <si>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</si>
  <si>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</si>
  <si>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</si>
  <si>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</si>
  <si>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</si>
  <si>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</si>
  <si>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</si>
  <si>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</si>
  <si>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</si>
  <si>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</si>
  <si>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</si>
  <si>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</si>
  <si>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</si>
  <si>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</si>
  <si>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</si>
  <si>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</si>
  <si>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</si>
  <si>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</si>
  <si>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</si>
  <si>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</si>
  <si>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</si>
  <si>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</si>
  <si>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</si>
  <si>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</si>
  <si>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</si>
  <si>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</si>
  <si>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</si>
  <si>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</si>
  <si>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</si>
  <si>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</si>
  <si>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</si>
  <si>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</si>
  <si>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</si>
  <si>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</si>
  <si>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</si>
  <si>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</si>
  <si>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</si>
  <si>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</si>
  <si>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</si>
  <si>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</si>
  <si>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</si>
  <si>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</si>
  <si>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</si>
  <si>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</si>
  <si>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</si>
  <si>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</si>
  <si>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</si>
  <si>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</si>
  <si>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</si>
  <si>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</si>
  <si>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</si>
  <si>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</si>
  <si>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</si>
  <si>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</si>
  <si>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</si>
  <si>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</si>
  <si>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</si>
  <si>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</si>
  <si>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</si>
  <si>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</si>
  <si>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</si>
  <si>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</si>
  <si>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</si>
  <si>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</si>
  <si>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</si>
  <si>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</si>
  <si>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</si>
  <si>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</si>
  <si>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</si>
  <si>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</si>
  <si>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</si>
  <si>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</si>
  <si>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</si>
  <si>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</si>
  <si>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</si>
  <si>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</si>
  <si>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</si>
  <si>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</si>
  <si>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</si>
  <si>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</si>
  <si>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</si>
  <si>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</si>
  <si>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</si>
  <si>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</si>
  <si>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</si>
  <si>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</si>
  <si>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</si>
  <si>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</si>
  <si>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</si>
  <si>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</si>
  <si>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</si>
  <si>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</si>
  <si>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</si>
  <si>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</si>
  <si>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</si>
  <si>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</si>
  <si>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</si>
  <si>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</si>
  <si>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</si>
  <si>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</si>
  <si>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</si>
  <si>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</si>
  <si>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</si>
  <si>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</si>
  <si>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</si>
  <si>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</si>
  <si>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</si>
  <si>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</si>
  <si>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</si>
  <si>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</si>
  <si>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</si>
  <si>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</si>
  <si>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</si>
  <si>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</si>
  <si>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</si>
  <si>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</si>
  <si>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</si>
  <si>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</si>
  <si>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</si>
  <si>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</si>
  <si>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</si>
  <si>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</si>
  <si>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</si>
  <si>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</si>
  <si>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</si>
  <si>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</si>
  <si>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</si>
  <si>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</si>
  <si>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</si>
  <si>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</si>
  <si>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</si>
  <si>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</si>
  <si>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</si>
  <si>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</si>
  <si>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</si>
  <si>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</si>
  <si>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</si>
  <si>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</si>
  <si>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</si>
  <si>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</si>
  <si>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</si>
  <si>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</si>
  <si>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</si>
  <si>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</si>
  <si>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</si>
  <si>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</si>
  <si>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</si>
  <si>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</si>
  <si>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</si>
  <si>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</si>
  <si>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</si>
  <si>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</si>
  <si>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</si>
  <si>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</si>
  <si>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</si>
  <si>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</si>
  <si>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</si>
  <si>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</si>
  <si>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</si>
  <si>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</si>
  <si>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</si>
  <si>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</si>
  <si>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</si>
  <si>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</si>
  <si>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</si>
  <si>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</si>
  <si>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</si>
  <si>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</si>
  <si>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</si>
  <si>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</si>
  <si>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</si>
  <si>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</si>
  <si>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</si>
  <si>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</si>
  <si>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</si>
  <si>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</si>
  <si>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</si>
  <si>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</si>
  <si>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</si>
  <si>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</si>
  <si>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</si>
  <si>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</si>
  <si>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</si>
  <si>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</si>
  <si>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</si>
  <si>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</si>
  <si>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</si>
  <si>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</si>
  <si>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</si>
  <si>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</si>
  <si>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</si>
  <si>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</si>
  <si>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</si>
  <si>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</si>
  <si>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</si>
  <si>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</si>
  <si>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</si>
  <si>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</si>
  <si>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</si>
  <si>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</si>
  <si>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</si>
  <si>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</si>
  <si>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</si>
  <si>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</si>
  <si>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</si>
  <si>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</si>
  <si>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</si>
  <si>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</si>
  <si>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</si>
  <si>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</si>
  <si>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</si>
  <si>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</si>
  <si>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</si>
  <si>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</si>
  <si>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</si>
  <si>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</si>
  <si>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</si>
  <si>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</si>
  <si>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</si>
  <si>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</si>
  <si>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</si>
  <si>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</si>
  <si>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</si>
  <si>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</si>
  <si>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</si>
  <si>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</si>
  <si>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</si>
  <si>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</si>
  <si>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</si>
  <si>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</si>
  <si>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</si>
  <si>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</si>
  <si>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</si>
  <si>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</si>
  <si>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</si>
  <si>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</si>
  <si>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</si>
  <si>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</si>
  <si>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</si>
  <si>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</si>
  <si>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</si>
  <si>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</si>
  <si>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</si>
  <si>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</si>
  <si>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</si>
  <si>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</si>
  <si>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</si>
  <si>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</si>
  <si>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</si>
  <si>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</si>
  <si>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</si>
  <si>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</si>
  <si>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</si>
  <si>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</si>
  <si>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</si>
  <si>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</si>
  <si>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</si>
  <si>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</si>
  <si>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</si>
  <si>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</si>
  <si>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</si>
  <si>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</si>
  <si>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</si>
  <si>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</si>
  <si>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</si>
  <si>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</si>
  <si>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</si>
  <si>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</si>
  <si>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</si>
  <si>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</si>
  <si>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</si>
  <si>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</si>
  <si>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</si>
  <si>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</si>
  <si>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</si>
  <si>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</si>
  <si>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</si>
  <si>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</si>
  <si>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</si>
  <si>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</si>
  <si>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</si>
  <si>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</si>
  <si>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</si>
  <si>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</si>
  <si>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</si>
  <si>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</si>
  <si>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</si>
  <si>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</si>
  <si>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</si>
  <si>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</si>
  <si>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</si>
  <si>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</si>
  <si>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</si>
  <si>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</si>
  <si>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</si>
  <si>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</si>
  <si>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</si>
  <si>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</si>
  <si>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</si>
  <si>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</si>
  <si>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</si>
  <si>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</si>
  <si>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</si>
  <si>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</si>
  <si>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</si>
  <si>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</si>
  <si>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</si>
  <si>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</si>
  <si>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</si>
  <si>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</si>
  <si>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</si>
  <si>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</si>
  <si>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</si>
  <si>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</si>
  <si>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</si>
  <si>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</si>
  <si>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</si>
  <si>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</si>
  <si>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</si>
  <si>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</si>
  <si>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</si>
  <si>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</si>
  <si>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</si>
  <si>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</si>
  <si>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</si>
  <si>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</si>
  <si>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</si>
  <si>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</si>
  <si>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</si>
  <si>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</si>
  <si>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</si>
  <si>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</si>
  <si>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</si>
  <si>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</si>
  <si>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</si>
  <si>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</si>
  <si>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</si>
  <si>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</si>
  <si>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</si>
  <si>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</si>
  <si>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</si>
  <si>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</si>
  <si>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</si>
  <si>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</si>
  <si>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</si>
  <si>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</si>
  <si>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</si>
  <si>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</si>
  <si>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</si>
  <si>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</si>
  <si>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</si>
  <si>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</si>
  <si>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</si>
  <si>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</si>
  <si>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</si>
  <si>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</si>
  <si>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</si>
  <si>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</si>
  <si>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</si>
  <si>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</si>
  <si>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</si>
  <si>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</si>
  <si>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</si>
  <si>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</si>
  <si>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</si>
  <si>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</si>
  <si>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</si>
  <si>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</si>
  <si>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</si>
  <si>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</si>
  <si>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</si>
  <si>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</si>
  <si>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</si>
  <si>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</si>
  <si>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</si>
  <si>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</si>
  <si>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</si>
  <si>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</si>
  <si>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</si>
  <si>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</si>
  <si>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</si>
  <si>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</si>
  <si>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</si>
  <si>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</si>
  <si>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</si>
  <si>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</si>
  <si>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</si>
  <si>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</si>
  <si>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</si>
  <si>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</si>
  <si>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</si>
  <si>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</si>
  <si>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</si>
  <si>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</si>
  <si>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</si>
  <si>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</si>
  <si>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</si>
  <si>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</si>
  <si>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</si>
  <si>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</si>
  <si>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</si>
  <si>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</si>
  <si>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</si>
  <si>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</si>
  <si>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</si>
  <si>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</si>
  <si>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</si>
  <si>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</si>
  <si>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</si>
  <si>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</si>
  <si>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</si>
  <si>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</si>
  <si>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</si>
  <si>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</si>
  <si>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</si>
  <si>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</si>
  <si>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</si>
  <si>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</si>
  <si>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</si>
  <si>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</si>
  <si>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</si>
  <si>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</si>
  <si>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</si>
  <si>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</si>
  <si>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</si>
  <si>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</si>
  <si>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</si>
  <si>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</si>
  <si>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</si>
  <si>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</si>
  <si>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</si>
  <si>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</si>
  <si>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</si>
  <si>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</si>
  <si>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</si>
  <si>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</si>
  <si>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</si>
  <si>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</si>
  <si>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</si>
  <si>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</si>
  <si>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</si>
  <si>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</si>
  <si>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</si>
  <si>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</si>
  <si>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</si>
  <si>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</si>
  <si>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</si>
  <si>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</si>
  <si>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</si>
  <si>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</si>
  <si>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</si>
  <si>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</si>
  <si>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</si>
  <si>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</si>
  <si>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</si>
  <si>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</si>
  <si>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</si>
  <si>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</si>
  <si>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</si>
  <si>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</si>
  <si>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</si>
  <si>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</si>
  <si>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</si>
  <si>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</si>
  <si>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</si>
  <si>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</si>
  <si>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</si>
  <si>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</si>
  <si>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</si>
  <si>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</si>
  <si>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</si>
  <si>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</si>
  <si>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</si>
  <si>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</si>
  <si>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</si>
  <si>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</si>
  <si>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</si>
  <si>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</si>
  <si>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</si>
  <si>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</si>
  <si>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</si>
  <si>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</si>
  <si>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</si>
  <si>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</si>
  <si>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</si>
  <si>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</si>
  <si>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</si>
  <si>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</si>
  <si>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</si>
  <si>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</si>
  <si>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</si>
  <si>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</si>
  <si>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</si>
  <si>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</si>
  <si>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</si>
  <si>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</si>
  <si>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</si>
  <si>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</si>
  <si>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</si>
  <si>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</si>
  <si>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</si>
  <si>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</si>
  <si>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</si>
  <si>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</si>
  <si>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</si>
  <si>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</si>
  <si>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</si>
  <si>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</si>
  <si>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</si>
  <si>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</si>
  <si>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</si>
  <si>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</si>
  <si>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</si>
  <si>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</si>
  <si>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</si>
  <si>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</si>
  <si>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</si>
  <si>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</si>
  <si>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</si>
  <si>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</si>
  <si>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</si>
  <si>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</si>
  <si>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</si>
  <si>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</si>
  <si>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</si>
  <si>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</si>
  <si>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</si>
  <si>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</si>
  <si>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</si>
  <si>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</si>
  <si>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</si>
  <si>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</si>
  <si>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</si>
  <si>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</si>
  <si>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</si>
  <si>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</si>
  <si>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</si>
  <si>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</si>
  <si>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</si>
  <si>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</si>
  <si>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</si>
  <si>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</si>
  <si>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</si>
  <si>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</si>
  <si>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</si>
  <si>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</si>
  <si>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</si>
  <si>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</si>
  <si>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</si>
  <si>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</si>
  <si>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</si>
  <si>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</si>
  <si>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</si>
  <si>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</si>
  <si>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</si>
  <si>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</si>
  <si>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</si>
  <si>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</si>
  <si>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</si>
  <si>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</si>
  <si>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</si>
  <si>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</si>
  <si>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</si>
  <si>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</si>
  <si>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</si>
  <si>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</si>
  <si>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</si>
  <si>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</si>
  <si>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</si>
  <si>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</si>
  <si>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</si>
  <si>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</si>
  <si>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</si>
  <si>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</si>
  <si>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</si>
  <si>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</si>
  <si>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</si>
  <si>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</si>
  <si>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</si>
  <si>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</si>
  <si>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</si>
  <si>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</si>
  <si>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</si>
  <si>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</si>
  <si>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</si>
  <si>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</si>
  <si>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</si>
  <si>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</si>
  <si>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</si>
  <si>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</si>
  <si>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</si>
  <si>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</si>
  <si>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</si>
  <si>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</si>
  <si>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</si>
  <si>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</si>
  <si>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</si>
  <si>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</si>
  <si>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</si>
  <si>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</si>
  <si>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</si>
  <si>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</si>
  <si>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</si>
  <si>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</si>
  <si>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</si>
  <si>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</si>
  <si>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</si>
  <si>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</si>
  <si>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</si>
  <si>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</si>
  <si>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</si>
  <si>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</si>
  <si>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</si>
  <si>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</si>
  <si>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</si>
  <si>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</si>
  <si>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</si>
  <si>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</si>
  <si>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</si>
  <si>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</si>
  <si>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</si>
  <si>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</si>
  <si>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</si>
  <si>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</si>
  <si>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</si>
  <si>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</si>
  <si>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</si>
  <si>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</si>
  <si>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</si>
  <si>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</si>
  <si>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</si>
  <si>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</si>
  <si>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</si>
  <si>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</si>
  <si>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</si>
  <si>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</si>
  <si>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</si>
  <si>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</si>
  <si>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</si>
  <si>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</si>
  <si>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</si>
  <si>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</si>
  <si>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</si>
  <si>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</si>
  <si>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</si>
  <si>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</si>
  <si>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</si>
  <si>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</si>
  <si>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</si>
  <si>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</si>
  <si>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</si>
  <si>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</si>
  <si>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</si>
  <si>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</si>
  <si>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</si>
  <si>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</si>
  <si>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</si>
  <si>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</si>
  <si>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</si>
  <si>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</si>
  <si>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</si>
  <si>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</si>
  <si>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</si>
  <si>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</si>
  <si>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</si>
  <si>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</si>
  <si>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</si>
  <si>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</si>
  <si>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</si>
  <si>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</si>
  <si>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</si>
  <si>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</si>
  <si>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</si>
  <si>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</si>
  <si>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</si>
  <si>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</si>
  <si>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</si>
  <si>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</si>
  <si>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</si>
  <si>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</si>
  <si>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</si>
  <si>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</si>
  <si>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</si>
  <si>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</si>
  <si>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</si>
  <si>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</si>
  <si>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</si>
  <si>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</si>
  <si>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</si>
  <si>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</si>
  <si>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</si>
  <si>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</si>
  <si>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</si>
  <si>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</si>
  <si>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</si>
  <si>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</si>
  <si>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</si>
  <si>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</si>
  <si>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</si>
  <si>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</si>
  <si>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</si>
  <si>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</si>
  <si>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</si>
  <si>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</si>
  <si>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</si>
  <si>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</si>
  <si>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</si>
  <si>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</si>
  <si>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</si>
  <si>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</si>
  <si>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</si>
  <si>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</si>
  <si>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</si>
  <si>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</si>
  <si>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</si>
  <si>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</si>
  <si>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</si>
  <si>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</si>
  <si>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</si>
  <si>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</si>
  <si>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</si>
  <si>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</si>
  <si>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</si>
  <si>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</si>
  <si>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</si>
  <si>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</si>
  <si>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</si>
  <si>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</si>
  <si>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</si>
  <si>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</si>
  <si>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</si>
  <si>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</si>
  <si>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</si>
  <si>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</si>
  <si>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</si>
  <si>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</si>
  <si>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</si>
  <si>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</si>
  <si>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</si>
  <si>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</si>
  <si>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</si>
  <si>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</si>
  <si>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</si>
  <si>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</si>
  <si>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</si>
  <si>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</si>
  <si>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</si>
  <si>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</si>
  <si>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</si>
  <si>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</si>
  <si>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</si>
  <si>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</si>
  <si>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</si>
  <si>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</si>
  <si>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</si>
  <si>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</si>
  <si>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</si>
  <si>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</si>
  <si>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</si>
  <si>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</si>
  <si>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</si>
  <si>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</si>
  <si>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</si>
  <si>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</si>
  <si>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</si>
  <si>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</si>
  <si>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</si>
  <si>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</si>
  <si>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</si>
  <si>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</si>
  <si>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</si>
  <si>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</si>
  <si>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</si>
  <si>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</si>
  <si>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</si>
  <si>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</si>
  <si>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</si>
  <si>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</si>
  <si>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</si>
  <si>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</si>
  <si>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</si>
  <si>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</si>
  <si>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</si>
  <si>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</si>
  <si>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</si>
  <si>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</si>
  <si>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</si>
  <si>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</si>
  <si>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</si>
  <si>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</si>
  <si>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</si>
  <si>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</si>
  <si>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</si>
  <si>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</si>
  <si>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</si>
  <si>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</si>
  <si>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</si>
  <si>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</si>
  <si>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</si>
  <si>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</si>
  <si>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</si>
  <si>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</si>
  <si>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</si>
  <si>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</si>
  <si>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</si>
  <si>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</si>
  <si>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</si>
  <si>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</si>
  <si>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</si>
  <si>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</si>
  <si>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</si>
  <si>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</si>
  <si>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</si>
  <si>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</si>
  <si>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</si>
  <si>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</si>
  <si>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</si>
  <si>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</si>
  <si>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</si>
  <si>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</si>
  <si>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</si>
  <si>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</si>
  <si>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</si>
  <si>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</si>
  <si>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</si>
  <si>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</si>
  <si>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</si>
  <si>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</si>
  <si>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</si>
  <si>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</si>
  <si>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</si>
  <si>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</si>
  <si>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</si>
  <si>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</si>
  <si>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</si>
  <si>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</si>
  <si>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</si>
  <si>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</si>
  <si>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</si>
  <si>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</si>
  <si>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</si>
  <si>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</si>
  <si>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</si>
  <si>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</si>
  <si>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</si>
  <si>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</si>
  <si>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</si>
  <si>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</si>
  <si>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</si>
  <si>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</si>
  <si>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</si>
  <si>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</si>
  <si>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</si>
  <si>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</si>
  <si>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</si>
  <si>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</si>
  <si>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</si>
  <si>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</si>
  <si>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</si>
  <si>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</si>
  <si>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</si>
  <si>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</si>
  <si>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</si>
  <si>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</si>
  <si>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</si>
  <si>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</si>
  <si>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</si>
  <si>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</si>
  <si>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</si>
  <si>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</si>
  <si>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</si>
  <si>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</si>
  <si>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</si>
  <si>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</si>
  <si>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</si>
  <si>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</si>
  <si>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</si>
  <si>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</si>
  <si>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</si>
  <si>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</si>
  <si>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</si>
  <si>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</si>
  <si>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</si>
  <si>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</si>
  <si>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</si>
  <si>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</si>
  <si>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</si>
  <si>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</si>
  <si>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</si>
  <si>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</si>
  <si>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</si>
  <si>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</si>
  <si>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</si>
  <si>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</si>
  <si>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</si>
  <si>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</si>
  <si>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</si>
  <si>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</si>
  <si>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</si>
  <si>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</si>
  <si>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</si>
  <si>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</si>
  <si>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</si>
  <si>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</si>
  <si>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</si>
  <si>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</si>
  <si>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</si>
  <si>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</si>
  <si>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</si>
  <si>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</si>
  <si>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</si>
  <si>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</si>
  <si>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</si>
  <si>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</si>
  <si>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</si>
  <si>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</si>
  <si>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</si>
  <si>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</si>
  <si>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</si>
  <si>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</si>
  <si>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</si>
  <si>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</si>
  <si>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</si>
  <si>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</si>
  <si>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</si>
  <si>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</si>
  <si>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</si>
  <si>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</si>
  <si>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</si>
  <si>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</si>
  <si>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</si>
  <si>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</si>
  <si>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</si>
  <si>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</si>
  <si>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</si>
  <si>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</si>
  <si>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</si>
  <si>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</si>
  <si>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</si>
  <si>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</si>
  <si>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</si>
  <si>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</si>
  <si>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</si>
  <si>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</si>
  <si>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</si>
  <si>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</si>
  <si>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</si>
  <si>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</si>
  <si>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</si>
  <si>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</si>
  <si>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</si>
  <si>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</si>
  <si>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</si>
  <si>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</si>
  <si>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</si>
  <si>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</si>
  <si>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</si>
  <si>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</si>
  <si>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</si>
  <si>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</si>
  <si>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</si>
  <si>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</si>
  <si>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</si>
  <si>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</si>
  <si>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</si>
  <si>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</si>
  <si>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</si>
  <si>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</si>
  <si>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</si>
  <si>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</si>
  <si>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</si>
  <si>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</si>
  <si>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</si>
  <si>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</si>
  <si>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</si>
  <si>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</si>
  <si>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</si>
  <si>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</si>
  <si>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</si>
  <si>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</si>
  <si>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</si>
  <si>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</si>
  <si>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</si>
  <si>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</si>
  <si>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</si>
  <si>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</si>
  <si>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</si>
  <si>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</si>
  <si>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</si>
  <si>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</si>
  <si>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</si>
  <si>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</si>
  <si>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</si>
  <si>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</si>
  <si>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</si>
  <si>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</si>
  <si>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</si>
  <si>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</si>
  <si>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</si>
  <si>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</si>
  <si>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</si>
  <si>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</si>
  <si>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</si>
  <si>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</si>
  <si>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</si>
  <si>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</si>
  <si>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</si>
  <si>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</si>
  <si>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</si>
  <si>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</si>
  <si>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</si>
  <si>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</si>
  <si>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</si>
  <si>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</si>
  <si>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</si>
  <si>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</si>
  <si>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</si>
  <si>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</si>
  <si>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</si>
  <si>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</si>
  <si>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</si>
  <si>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</si>
  <si>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</si>
  <si>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</si>
  <si>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</si>
  <si>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</si>
  <si>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</si>
  <si>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</si>
  <si>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</si>
  <si>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</si>
  <si>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</si>
  <si>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</si>
  <si>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</si>
  <si>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</si>
  <si>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</si>
  <si>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</si>
  <si>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</si>
  <si>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</si>
  <si>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</si>
  <si>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</si>
  <si>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</si>
  <si>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</si>
  <si>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</si>
  <si>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</si>
  <si>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</si>
  <si>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</si>
  <si>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</si>
  <si>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</si>
  <si>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</si>
  <si>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</si>
  <si>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</si>
  <si>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</si>
  <si>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</si>
  <si>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</si>
  <si>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</si>
  <si>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</si>
  <si>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</si>
  <si>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</si>
  <si>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</si>
  <si>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</si>
  <si>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</si>
  <si>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</si>
  <si>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</si>
  <si>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</si>
  <si>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</si>
  <si>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</si>
  <si>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</si>
  <si>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</si>
  <si>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</si>
  <si>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</si>
  <si>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</si>
  <si>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</si>
  <si>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</si>
  <si>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</si>
  <si>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</si>
  <si>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</si>
  <si>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</si>
  <si>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</si>
  <si>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</si>
  <si>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</si>
  <si>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</si>
  <si>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</si>
  <si>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</si>
  <si>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</si>
  <si>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</si>
  <si>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</si>
  <si>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</si>
  <si>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</si>
  <si>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</si>
  <si>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</si>
  <si>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</si>
  <si>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</si>
  <si>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</si>
  <si>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</si>
  <si>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</si>
  <si>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</si>
  <si>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</si>
  <si>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</si>
  <si>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</si>
  <si>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</si>
  <si>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</si>
  <si>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</si>
  <si>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</si>
  <si>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</si>
  <si>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</si>
  <si>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</si>
  <si>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</si>
  <si>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</si>
  <si>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</si>
  <si>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</si>
  <si>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</si>
  <si>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</si>
  <si>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</si>
  <si>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</si>
  <si>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</si>
  <si>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</si>
  <si>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</si>
  <si>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</si>
  <si>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</si>
  <si>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</si>
  <si>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</si>
  <si>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</si>
  <si>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</si>
  <si>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</si>
  <si>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</si>
  <si>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</si>
  <si>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</si>
  <si>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</si>
  <si>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</si>
  <si>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</si>
  <si>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</si>
  <si>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</si>
  <si>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</si>
  <si>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</si>
  <si>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</si>
  <si>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</si>
  <si>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</si>
  <si>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</si>
  <si>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</si>
  <si>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</si>
  <si>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</si>
  <si>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</si>
  <si>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</si>
  <si>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</si>
  <si>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</si>
  <si>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</si>
  <si>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</si>
  <si>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</si>
  <si>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</si>
  <si>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</si>
  <si>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</si>
  <si>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</si>
  <si>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</si>
  <si>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</si>
  <si>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</si>
  <si>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</si>
  <si>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</si>
  <si>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</si>
  <si>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</si>
  <si>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</si>
  <si>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</si>
  <si>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</si>
  <si>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</si>
  <si>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</si>
  <si>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</si>
  <si>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</si>
  <si>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</si>
  <si>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</si>
  <si>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</si>
  <si>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</si>
  <si>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</si>
  <si>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</si>
  <si>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</si>
  <si>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</si>
  <si>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</si>
  <si>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</si>
  <si>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</si>
  <si>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</si>
  <si>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</si>
  <si>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</si>
  <si>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</si>
  <si>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</si>
  <si>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</si>
  <si>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</si>
  <si>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</si>
  <si>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</si>
  <si>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</si>
  <si>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</si>
  <si>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</si>
  <si>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</si>
  <si>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</si>
  <si>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</si>
  <si>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</si>
  <si>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</si>
  <si>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</si>
  <si>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</si>
  <si>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</si>
  <si>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</si>
  <si>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</si>
  <si>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</si>
  <si>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</si>
  <si>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</si>
  <si>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</si>
  <si>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</si>
  <si>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</si>
  <si>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</si>
  <si>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</si>
  <si>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</si>
  <si>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</si>
  <si>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</si>
  <si>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</si>
  <si>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</si>
  <si>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</si>
  <si>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</si>
  <si>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</si>
  <si>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</si>
  <si>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</si>
  <si>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</si>
  <si>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</si>
  <si>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</si>
  <si>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</si>
  <si>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</si>
  <si>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</si>
  <si>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</si>
  <si>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</si>
  <si>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</si>
  <si>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</si>
  <si>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</si>
  <si>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</si>
  <si>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</si>
  <si>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</si>
  <si>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</si>
  <si>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</si>
  <si>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</si>
  <si>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</si>
  <si>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</si>
  <si>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</si>
  <si>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</si>
  <si>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</si>
  <si>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</si>
  <si>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</si>
  <si>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</si>
  <si>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</si>
  <si>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</si>
  <si>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</si>
  <si>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</si>
  <si>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</si>
  <si>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</si>
  <si>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</si>
  <si>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</si>
  <si>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</si>
  <si>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</si>
  <si>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</si>
  <si>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</si>
  <si>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</si>
  <si>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</si>
  <si>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</si>
  <si>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</si>
  <si>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</si>
  <si>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</si>
  <si>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</si>
  <si>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</si>
  <si>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</si>
  <si>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</si>
  <si>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</si>
  <si>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</si>
  <si>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</si>
  <si>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</si>
  <si>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</si>
  <si>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</si>
  <si>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</si>
  <si>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</si>
  <si>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</si>
  <si>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</si>
  <si>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</si>
  <si>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</si>
  <si>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</si>
  <si>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</si>
  <si>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</si>
  <si>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</si>
  <si>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</si>
  <si>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</si>
  <si>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</si>
  <si>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</si>
  <si>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</si>
  <si>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</si>
  <si>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</si>
  <si>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</si>
  <si>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</si>
  <si>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</si>
  <si>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</si>
  <si>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</si>
  <si>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</si>
  <si>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</si>
  <si>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</si>
  <si>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</si>
  <si>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</si>
  <si>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</si>
  <si>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</si>
  <si>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</si>
  <si>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</si>
  <si>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</si>
  <si>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</si>
  <si>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</si>
  <si>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</si>
  <si>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</si>
  <si>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</si>
  <si>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</si>
  <si>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</si>
  <si>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</si>
  <si>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</si>
  <si>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</si>
  <si>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</si>
  <si>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</si>
  <si>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</si>
  <si>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</si>
  <si>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</si>
  <si>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</si>
  <si>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</si>
  <si>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</si>
  <si>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</si>
  <si>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</si>
  <si>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</si>
  <si>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Ⅳ-通1</t>
  </si>
  <si>
    <t>地上</t>
  </si>
  <si>
    <t>平层住宅</t>
  </si>
  <si>
    <t>抵押</t>
  </si>
  <si>
    <t>房地产市场价值</t>
  </si>
  <si>
    <t>企业</t>
  </si>
  <si>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</si>
  <si>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</si>
  <si>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</si>
  <si>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</si>
  <si>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</si>
  <si>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</si>
  <si>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</si>
  <si>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</si>
  <si>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楼层修正</t>
  </si>
  <si>
    <t>不临65条商业街</t>
  </si>
  <si>
    <t>中心城区以外</t>
  </si>
  <si>
    <t>成新度</t>
  </si>
  <si>
    <t>楼层</t>
    <phoneticPr fontId="134" type="noConversion"/>
  </si>
  <si>
    <t>未包含在土地购买价格中</t>
  </si>
  <si>
    <t>已包含在土地取得成本中</t>
  </si>
  <si>
    <t>地下办公</t>
  </si>
  <si>
    <t>地下商业</t>
  </si>
  <si>
    <t>车库-办公</t>
  </si>
  <si>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</si>
  <si>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phoneticPr fontId="16" type="noConversion"/>
  </si>
  <si>
    <t>收益法 (元) 地下商业</t>
    <phoneticPr fontId="16" type="noConversion"/>
  </si>
  <si>
    <t>收益法 (元) 地下办公</t>
    <phoneticPr fontId="16" type="noConversion"/>
  </si>
  <si>
    <t>收益法 (元)机械车位</t>
    <phoneticPr fontId="16" type="noConversion"/>
  </si>
  <si>
    <t>收益法 (元)车位</t>
    <phoneticPr fontId="16" type="noConversion"/>
  </si>
  <si>
    <t>收益法（元）仓储</t>
    <phoneticPr fontId="16" type="noConversion"/>
  </si>
  <si>
    <t>押一</t>
  </si>
  <si>
    <t>钢混</t>
  </si>
  <si>
    <t>非生产用房</t>
  </si>
  <si>
    <t>否</t>
  </si>
  <si>
    <t>建筑面积</t>
    <phoneticPr fontId="134" type="noConversion"/>
  </si>
  <si>
    <t>成本法地上商业</t>
    <phoneticPr fontId="16" type="noConversion"/>
  </si>
  <si>
    <t>成本法 地下商业</t>
    <phoneticPr fontId="16" type="noConversion"/>
  </si>
  <si>
    <t>成本法 地下办公</t>
    <phoneticPr fontId="16" type="noConversion"/>
  </si>
  <si>
    <t>成本法机械车位</t>
    <phoneticPr fontId="16" type="noConversion"/>
  </si>
  <si>
    <t>成本法车位</t>
    <phoneticPr fontId="16" type="noConversion"/>
  </si>
  <si>
    <t>成本法仓储</t>
    <phoneticPr fontId="16" type="noConversion"/>
  </si>
  <si>
    <t>全部缴纳</t>
  </si>
  <si>
    <t>建面</t>
    <phoneticPr fontId="134" type="noConversion"/>
  </si>
  <si>
    <t>其他：</t>
  </si>
  <si>
    <t>住宅</t>
    <phoneticPr fontId="7" type="noConversion"/>
  </si>
  <si>
    <t>收益法 (元)</t>
  </si>
  <si>
    <t>月租金</t>
    <phoneticPr fontId="134" type="noConversion"/>
  </si>
  <si>
    <t>《郑州市人民政府关于印发郑州市城市基础设施配套费征收管理办法的通知》（郑政文〔2017〕100号）。</t>
  </si>
  <si>
    <t>现房</t>
  </si>
  <si>
    <t>估价对象周边有196路、B38路、Y25路等多条公交线路，综合评价交通便捷度一般</t>
    <phoneticPr fontId="40" type="noConversion"/>
  </si>
  <si>
    <t>估价对象周边有河南省体育场馆中心、郑州海洋馆等人文景观，东风渠水系等自然景观，综合评价环境状况较好。</t>
    <phoneticPr fontId="3" type="noConversion"/>
  </si>
  <si>
    <t>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40" type="noConversion"/>
  </si>
  <si>
    <t>周边有阳光嘉苑、瑞祥花园、园田花园、四月天等住宅小区，居住社区成熟度较好。</t>
    <phoneticPr fontId="40" type="noConversion"/>
  </si>
  <si>
    <t>单套模式</t>
  </si>
  <si>
    <t>售价</t>
  </si>
  <si>
    <t>瑞景花园</t>
    <phoneticPr fontId="3" type="noConversion"/>
  </si>
  <si>
    <t>估价对象</t>
    <phoneticPr fontId="3" type="noConversion"/>
  </si>
  <si>
    <t>正常</t>
  </si>
  <si>
    <t>住宅</t>
    <phoneticPr fontId="24" type="noConversion"/>
  </si>
  <si>
    <t>房屋性质</t>
    <phoneticPr fontId="24" type="noConversion"/>
  </si>
  <si>
    <t>商品房</t>
    <phoneticPr fontId="24" type="noConversion"/>
  </si>
  <si>
    <t>七通</t>
  </si>
  <si>
    <t>周边有阳光嘉苑、瑞祥花园、园田花园、四月天等住宅小区，居住社区成熟度较好。</t>
    <phoneticPr fontId="24" type="noConversion"/>
  </si>
  <si>
    <r>
      <rPr>
        <sz val="11"/>
        <rFont val="宋体"/>
        <family val="3"/>
        <charset val="134"/>
      </rPr>
      <t>周边有</t>
    </r>
    <r>
      <rPr>
        <sz val="11"/>
        <rFont val="Arial"/>
        <family val="2"/>
      </rPr>
      <t>196</t>
    </r>
    <r>
      <rPr>
        <sz val="11"/>
        <rFont val="宋体"/>
        <family val="3"/>
        <charset val="134"/>
      </rPr>
      <t>路、</t>
    </r>
    <r>
      <rPr>
        <sz val="11"/>
        <rFont val="Arial"/>
        <family val="2"/>
      </rPr>
      <t>B38</t>
    </r>
    <r>
      <rPr>
        <sz val="11"/>
        <rFont val="宋体"/>
        <family val="3"/>
        <charset val="134"/>
      </rPr>
      <t>路、</t>
    </r>
    <r>
      <rPr>
        <sz val="11"/>
        <rFont val="Arial"/>
        <family val="2"/>
      </rPr>
      <t>Y25</t>
    </r>
    <r>
      <rPr>
        <sz val="11"/>
        <rFont val="宋体"/>
        <family val="3"/>
        <charset val="134"/>
      </rPr>
      <t>路等多条公交线路，综合评价交通便捷度一般</t>
    </r>
    <phoneticPr fontId="24" type="noConversion"/>
  </si>
  <si>
    <t>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24" type="noConversion"/>
  </si>
  <si>
    <t>周边有河南省体育场馆中心、郑州海洋馆等人文景观，东风渠水系等自然景观，综合评价环境状况较好。</t>
    <phoneticPr fontId="24" type="noConversion"/>
  </si>
  <si>
    <t>南北</t>
  </si>
  <si>
    <t>南北</t>
    <phoneticPr fontId="24" type="noConversion"/>
  </si>
  <si>
    <t>高楼层</t>
  </si>
  <si>
    <t>高楼层</t>
    <phoneticPr fontId="24" type="noConversion"/>
  </si>
  <si>
    <t>中楼层</t>
  </si>
  <si>
    <t>中楼层</t>
    <phoneticPr fontId="24" type="noConversion"/>
  </si>
  <si>
    <t>低楼层</t>
    <phoneticPr fontId="24" type="noConversion"/>
  </si>
  <si>
    <t>售价</t>
    <phoneticPr fontId="134" type="noConversion"/>
  </si>
  <si>
    <t>案例1</t>
    <phoneticPr fontId="134" type="noConversion"/>
  </si>
  <si>
    <t>成交价</t>
    <phoneticPr fontId="134" type="noConversion"/>
  </si>
  <si>
    <t>日期</t>
    <phoneticPr fontId="134" type="noConversion"/>
  </si>
  <si>
    <t>3层</t>
    <phoneticPr fontId="134" type="noConversion"/>
  </si>
  <si>
    <t>案例2</t>
    <phoneticPr fontId="134" type="noConversion"/>
  </si>
  <si>
    <t>挂牌</t>
  </si>
  <si>
    <t>挂牌</t>
    <phoneticPr fontId="24" type="noConversion"/>
  </si>
  <si>
    <t>多层板楼</t>
  </si>
  <si>
    <t>多层板楼</t>
    <phoneticPr fontId="24" type="noConversion"/>
  </si>
  <si>
    <t>混合</t>
  </si>
  <si>
    <t>混合</t>
    <phoneticPr fontId="24" type="noConversion"/>
  </si>
  <si>
    <t>普通装修</t>
  </si>
  <si>
    <t>普通装修</t>
    <phoneticPr fontId="24" type="noConversion"/>
  </si>
  <si>
    <t>普通物业管理</t>
  </si>
  <si>
    <t>普通物业管理</t>
    <phoneticPr fontId="24" type="noConversion"/>
  </si>
  <si>
    <t>七通</t>
    <phoneticPr fontId="24" type="noConversion"/>
  </si>
  <si>
    <t>三居</t>
  </si>
  <si>
    <t>三居</t>
    <phoneticPr fontId="24" type="noConversion"/>
  </si>
  <si>
    <t>精装修</t>
    <phoneticPr fontId="24" type="noConversion"/>
  </si>
  <si>
    <t>简单装修</t>
    <phoneticPr fontId="24" type="noConversion"/>
  </si>
  <si>
    <t>两居</t>
    <phoneticPr fontId="24" type="noConversion"/>
  </si>
  <si>
    <t>户型</t>
    <phoneticPr fontId="134" type="noConversion"/>
  </si>
  <si>
    <t>三居</t>
    <phoneticPr fontId="134" type="noConversion"/>
  </si>
  <si>
    <t>案例3</t>
    <phoneticPr fontId="134" type="noConversion"/>
  </si>
  <si>
    <t>交易情况</t>
    <phoneticPr fontId="134" type="noConversion"/>
  </si>
  <si>
    <t>成交</t>
    <phoneticPr fontId="134" type="noConversion"/>
  </si>
  <si>
    <t>挂牌</t>
    <phoneticPr fontId="134" type="noConversion"/>
  </si>
  <si>
    <t>比较法-住宅</t>
  </si>
  <si>
    <t>中楼层</t>
    <phoneticPr fontId="134" type="noConversion"/>
  </si>
  <si>
    <t>中指算报酬率</t>
    <phoneticPr fontId="134" type="noConversion"/>
  </si>
  <si>
    <t>7月</t>
    <phoneticPr fontId="134" type="noConversion"/>
  </si>
  <si>
    <t>8月</t>
    <phoneticPr fontId="134" type="noConversion"/>
  </si>
  <si>
    <t>9月</t>
    <phoneticPr fontId="134" type="noConversion"/>
  </si>
  <si>
    <t>金水售价</t>
    <phoneticPr fontId="134" type="noConversion"/>
  </si>
  <si>
    <t>郑州租金</t>
    <phoneticPr fontId="134" type="noConversion"/>
  </si>
  <si>
    <t>扣减后总价</t>
    <phoneticPr fontId="8" type="noConversion"/>
  </si>
  <si>
    <t>万元</t>
    <phoneticPr fontId="8" type="noConversion"/>
  </si>
  <si>
    <t>回报率</t>
    <phoneticPr fontId="134" type="noConversion"/>
  </si>
  <si>
    <t>https://public.zhengzhou.gov.cn/D0102X/7739063.jhtml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</si>
</sst>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indexed="8"/>
      <name val="Arial"/>
      <family val="3"/>
      <charset val="134"/>
    </font>
    <font>
      <sz val="14"/>
      <color rgb="FF000000"/>
      <name val="Verdana"/>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12" borderId="0" xfId="0" applyFont="1" applyFill="1" applyProtection="1">
      <alignment vertical="center"/>
      <protection locked="0"/>
    </xf>
    <xf numFmtId="10" fontId="0" fillId="0" borderId="0" xfId="17" applyNumberFormat="1" applyFont="1" applyAlignment="1">
      <alignment horizontal="center"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7" fontId="44" fillId="0" borderId="23" xfId="0" applyNumberFormat="1" applyFont="1" applyBorder="1" applyAlignment="1" applyProtection="1">
      <alignment horizontal="center" vertical="center"/>
      <protection locked="0"/>
    </xf>
    <xf numFmtId="0" fontId="272" fillId="6" borderId="6" xfId="0" applyFont="1" applyFill="1" applyBorder="1" applyAlignment="1">
      <alignment vertical="center" wrapText="1"/>
    </xf>
    <xf numFmtId="0" fontId="273" fillId="0" borderId="0" xfId="0" applyFont="1" applyAlignment="1">
      <alignment horizontal="left" vertical="center"/>
    </xf>
    <xf numFmtId="49" fontId="222" fillId="0" borderId="10" xfId="0" applyNumberFormat="1"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4" fontId="0" fillId="0" borderId="0" xfId="0" applyNumberFormat="1">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10" fontId="0"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342900</xdr:colOff>
      <xdr:row>22</xdr:row>
      <xdr:rowOff>61687</xdr:rowOff>
    </xdr:from>
    <xdr:to>
      <xdr:col>15</xdr:col>
      <xdr:colOff>646843</xdr:colOff>
      <xdr:row>52</xdr:row>
      <xdr:rowOff>227470</xdr:rowOff>
    </xdr:to>
    <xdr:pic>
      <xdr:nvPicPr>
        <xdr:cNvPr id="2" name="图片 1">
          <a:extLst>
            <a:ext uri="{FF2B5EF4-FFF2-40B4-BE49-F238E27FC236}">
              <a16:creationId xmlns:a16="http://schemas.microsoft.com/office/drawing/2014/main" id="{D05A8E99-5CEC-74A6-4480-3B0CFA5B7D9E}"/>
            </a:ext>
          </a:extLst>
        </xdr:cNvPr>
        <xdr:cNvPicPr>
          <a:picLocks noChangeAspect="1"/>
        </xdr:cNvPicPr>
      </xdr:nvPicPr>
      <xdr:blipFill>
        <a:blip xmlns:r="http://schemas.openxmlformats.org/officeDocument/2006/relationships" r:embed="rId1"/>
        <a:stretch>
          <a:fillRect/>
        </a:stretch>
      </xdr:blipFill>
      <xdr:spPr>
        <a:xfrm>
          <a:off x="8362950" y="4709887"/>
          <a:ext cx="5075968" cy="6690408"/>
        </a:xfrm>
        <a:prstGeom prst="rect">
          <a:avLst/>
        </a:prstGeom>
      </xdr:spPr>
    </xdr:pic>
    <xdr:clientData/>
  </xdr:twoCellAnchor>
  <xdr:twoCellAnchor editAs="oneCell">
    <xdr:from>
      <xdr:col>16</xdr:col>
      <xdr:colOff>704535</xdr:colOff>
      <xdr:row>23</xdr:row>
      <xdr:rowOff>9525</xdr:rowOff>
    </xdr:from>
    <xdr:to>
      <xdr:col>31</xdr:col>
      <xdr:colOff>388209</xdr:colOff>
      <xdr:row>48</xdr:row>
      <xdr:rowOff>84284</xdr:rowOff>
    </xdr:to>
    <xdr:pic>
      <xdr:nvPicPr>
        <xdr:cNvPr id="3" name="图片 2">
          <a:extLst>
            <a:ext uri="{FF2B5EF4-FFF2-40B4-BE49-F238E27FC236}">
              <a16:creationId xmlns:a16="http://schemas.microsoft.com/office/drawing/2014/main" id="{42F9AB66-8794-CF81-0EE8-0D028DDEA33C}"/>
            </a:ext>
          </a:extLst>
        </xdr:cNvPr>
        <xdr:cNvPicPr>
          <a:picLocks noChangeAspect="1"/>
        </xdr:cNvPicPr>
      </xdr:nvPicPr>
      <xdr:blipFill>
        <a:blip xmlns:r="http://schemas.openxmlformats.org/officeDocument/2006/relationships" r:embed="rId2"/>
        <a:stretch>
          <a:fillRect/>
        </a:stretch>
      </xdr:blipFill>
      <xdr:spPr>
        <a:xfrm>
          <a:off x="14325285" y="4838700"/>
          <a:ext cx="9122949" cy="5675459"/>
        </a:xfrm>
        <a:prstGeom prst="rect">
          <a:avLst/>
        </a:prstGeom>
      </xdr:spPr>
    </xdr:pic>
    <xdr:clientData/>
  </xdr:twoCellAnchor>
  <xdr:twoCellAnchor editAs="oneCell">
    <xdr:from>
      <xdr:col>16</xdr:col>
      <xdr:colOff>609600</xdr:colOff>
      <xdr:row>50</xdr:row>
      <xdr:rowOff>180975</xdr:rowOff>
    </xdr:from>
    <xdr:to>
      <xdr:col>26</xdr:col>
      <xdr:colOff>303992</xdr:colOff>
      <xdr:row>63</xdr:row>
      <xdr:rowOff>66373</xdr:rowOff>
    </xdr:to>
    <xdr:pic>
      <xdr:nvPicPr>
        <xdr:cNvPr id="4" name="图片 3">
          <a:extLst>
            <a:ext uri="{FF2B5EF4-FFF2-40B4-BE49-F238E27FC236}">
              <a16:creationId xmlns:a16="http://schemas.microsoft.com/office/drawing/2014/main" id="{90E7ED86-EBDB-0E98-505B-E1EEE853BC00}"/>
            </a:ext>
          </a:extLst>
        </xdr:cNvPr>
        <xdr:cNvPicPr>
          <a:picLocks noChangeAspect="1"/>
        </xdr:cNvPicPr>
      </xdr:nvPicPr>
      <xdr:blipFill>
        <a:blip xmlns:r="http://schemas.openxmlformats.org/officeDocument/2006/relationships" r:embed="rId3"/>
        <a:stretch>
          <a:fillRect/>
        </a:stretch>
      </xdr:blipFill>
      <xdr:spPr>
        <a:xfrm>
          <a:off x="14230350" y="10982325"/>
          <a:ext cx="646666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228600</xdr:colOff>
      <xdr:row>1</xdr:row>
      <xdr:rowOff>9525</xdr:rowOff>
    </xdr:from>
    <xdr:to>
      <xdr:col>19</xdr:col>
      <xdr:colOff>142875</xdr:colOff>
      <xdr:row>39</xdr:row>
      <xdr:rowOff>138145</xdr:rowOff>
    </xdr:to>
    <xdr:pic>
      <xdr:nvPicPr>
        <xdr:cNvPr id="2" name="图片 1">
          <a:extLst>
            <a:ext uri="{FF2B5EF4-FFF2-40B4-BE49-F238E27FC236}">
              <a16:creationId xmlns:a16="http://schemas.microsoft.com/office/drawing/2014/main" id="{F54411F2-E082-E3E0-6817-060A771C3AFE}"/>
            </a:ext>
          </a:extLst>
        </xdr:cNvPr>
        <xdr:cNvPicPr>
          <a:picLocks noChangeAspect="1"/>
        </xdr:cNvPicPr>
      </xdr:nvPicPr>
      <xdr:blipFill>
        <a:blip xmlns:r="http://schemas.openxmlformats.org/officeDocument/2006/relationships" r:embed="rId1"/>
        <a:stretch>
          <a:fillRect/>
        </a:stretch>
      </xdr:blipFill>
      <xdr:spPr>
        <a:xfrm>
          <a:off x="12849225" y="285750"/>
          <a:ext cx="5686425" cy="7396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67037</xdr:colOff>
      <xdr:row>0</xdr:row>
      <xdr:rowOff>28575</xdr:rowOff>
    </xdr:from>
    <xdr:to>
      <xdr:col>3</xdr:col>
      <xdr:colOff>107813</xdr:colOff>
      <xdr:row>26</xdr:row>
      <xdr:rowOff>126502</xdr:rowOff>
    </xdr:to>
    <xdr:pic>
      <xdr:nvPicPr>
        <xdr:cNvPr id="2" name="图片 1">
          <a:extLst>
            <a:ext uri="{FF2B5EF4-FFF2-40B4-BE49-F238E27FC236}">
              <a16:creationId xmlns:a16="http://schemas.microsoft.com/office/drawing/2014/main" id="{E48C2E7C-4792-30CE-D2C7-140A17C907E9}"/>
            </a:ext>
          </a:extLst>
        </xdr:cNvPr>
        <xdr:cNvPicPr>
          <a:picLocks noChangeAspect="1"/>
        </xdr:cNvPicPr>
      </xdr:nvPicPr>
      <xdr:blipFill>
        <a:blip xmlns:r="http://schemas.openxmlformats.org/officeDocument/2006/relationships" r:embed="rId1"/>
        <a:stretch>
          <a:fillRect/>
        </a:stretch>
      </xdr:blipFill>
      <xdr:spPr>
        <a:xfrm>
          <a:off x="67037" y="28575"/>
          <a:ext cx="2098176" cy="4555627"/>
        </a:xfrm>
        <a:prstGeom prst="rect">
          <a:avLst/>
        </a:prstGeom>
      </xdr:spPr>
    </xdr:pic>
    <xdr:clientData/>
  </xdr:twoCellAnchor>
  <xdr:twoCellAnchor editAs="oneCell">
    <xdr:from>
      <xdr:col>3</xdr:col>
      <xdr:colOff>113593</xdr:colOff>
      <xdr:row>0</xdr:row>
      <xdr:rowOff>0</xdr:rowOff>
    </xdr:from>
    <xdr:to>
      <xdr:col>6</xdr:col>
      <xdr:colOff>79186</xdr:colOff>
      <xdr:row>27</xdr:row>
      <xdr:rowOff>23687</xdr:rowOff>
    </xdr:to>
    <xdr:pic>
      <xdr:nvPicPr>
        <xdr:cNvPr id="3" name="图片 2">
          <a:extLst>
            <a:ext uri="{FF2B5EF4-FFF2-40B4-BE49-F238E27FC236}">
              <a16:creationId xmlns:a16="http://schemas.microsoft.com/office/drawing/2014/main" id="{54A2B835-15DE-0B8D-65A8-7F3F7CB71339}"/>
            </a:ext>
          </a:extLst>
        </xdr:cNvPr>
        <xdr:cNvPicPr>
          <a:picLocks noChangeAspect="1"/>
        </xdr:cNvPicPr>
      </xdr:nvPicPr>
      <xdr:blipFill>
        <a:blip xmlns:r="http://schemas.openxmlformats.org/officeDocument/2006/relationships" r:embed="rId2"/>
        <a:stretch>
          <a:fillRect/>
        </a:stretch>
      </xdr:blipFill>
      <xdr:spPr>
        <a:xfrm>
          <a:off x="2170993" y="0"/>
          <a:ext cx="2137293" cy="4652837"/>
        </a:xfrm>
        <a:prstGeom prst="rect">
          <a:avLst/>
        </a:prstGeom>
      </xdr:spPr>
    </xdr:pic>
    <xdr:clientData/>
  </xdr:twoCellAnchor>
  <xdr:twoCellAnchor editAs="oneCell">
    <xdr:from>
      <xdr:col>6</xdr:col>
      <xdr:colOff>222400</xdr:colOff>
      <xdr:row>0</xdr:row>
      <xdr:rowOff>19051</xdr:rowOff>
    </xdr:from>
    <xdr:to>
      <xdr:col>9</xdr:col>
      <xdr:colOff>312667</xdr:colOff>
      <xdr:row>27</xdr:row>
      <xdr:rowOff>39783</xdr:rowOff>
    </xdr:to>
    <xdr:pic>
      <xdr:nvPicPr>
        <xdr:cNvPr id="4" name="图片 3">
          <a:extLst>
            <a:ext uri="{FF2B5EF4-FFF2-40B4-BE49-F238E27FC236}">
              <a16:creationId xmlns:a16="http://schemas.microsoft.com/office/drawing/2014/main" id="{1CE4535C-FF00-FC0C-B6DA-2749628498C3}"/>
            </a:ext>
          </a:extLst>
        </xdr:cNvPr>
        <xdr:cNvPicPr>
          <a:picLocks noChangeAspect="1"/>
        </xdr:cNvPicPr>
      </xdr:nvPicPr>
      <xdr:blipFill>
        <a:blip xmlns:r="http://schemas.openxmlformats.org/officeDocument/2006/relationships" r:embed="rId3"/>
        <a:stretch>
          <a:fillRect/>
        </a:stretch>
      </xdr:blipFill>
      <xdr:spPr>
        <a:xfrm>
          <a:off x="4337200" y="19051"/>
          <a:ext cx="2147667" cy="4649882"/>
        </a:xfrm>
        <a:prstGeom prst="rect">
          <a:avLst/>
        </a:prstGeom>
      </xdr:spPr>
    </xdr:pic>
    <xdr:clientData/>
  </xdr:twoCellAnchor>
  <xdr:twoCellAnchor editAs="oneCell">
    <xdr:from>
      <xdr:col>9</xdr:col>
      <xdr:colOff>342749</xdr:colOff>
      <xdr:row>0</xdr:row>
      <xdr:rowOff>0</xdr:rowOff>
    </xdr:from>
    <xdr:to>
      <xdr:col>12</xdr:col>
      <xdr:colOff>473022</xdr:colOff>
      <xdr:row>27</xdr:row>
      <xdr:rowOff>76201</xdr:rowOff>
    </xdr:to>
    <xdr:pic>
      <xdr:nvPicPr>
        <xdr:cNvPr id="5" name="图片 4">
          <a:extLst>
            <a:ext uri="{FF2B5EF4-FFF2-40B4-BE49-F238E27FC236}">
              <a16:creationId xmlns:a16="http://schemas.microsoft.com/office/drawing/2014/main" id="{9EA33DEE-8AC4-7900-F18E-A7DA346066F7}"/>
            </a:ext>
          </a:extLst>
        </xdr:cNvPr>
        <xdr:cNvPicPr>
          <a:picLocks noChangeAspect="1"/>
        </xdr:cNvPicPr>
      </xdr:nvPicPr>
      <xdr:blipFill>
        <a:blip xmlns:r="http://schemas.openxmlformats.org/officeDocument/2006/relationships" r:embed="rId4"/>
        <a:stretch>
          <a:fillRect/>
        </a:stretch>
      </xdr:blipFill>
      <xdr:spPr>
        <a:xfrm>
          <a:off x="6514949" y="0"/>
          <a:ext cx="2187673" cy="4705351"/>
        </a:xfrm>
        <a:prstGeom prst="rect">
          <a:avLst/>
        </a:prstGeom>
      </xdr:spPr>
    </xdr:pic>
    <xdr:clientData/>
  </xdr:twoCellAnchor>
  <xdr:twoCellAnchor editAs="oneCell">
    <xdr:from>
      <xdr:col>0</xdr:col>
      <xdr:colOff>9525</xdr:colOff>
      <xdr:row>27</xdr:row>
      <xdr:rowOff>66676</xdr:rowOff>
    </xdr:from>
    <xdr:to>
      <xdr:col>2</xdr:col>
      <xdr:colOff>590613</xdr:colOff>
      <xdr:row>51</xdr:row>
      <xdr:rowOff>159968</xdr:rowOff>
    </xdr:to>
    <xdr:pic>
      <xdr:nvPicPr>
        <xdr:cNvPr id="6" name="图片 5">
          <a:extLst>
            <a:ext uri="{FF2B5EF4-FFF2-40B4-BE49-F238E27FC236}">
              <a16:creationId xmlns:a16="http://schemas.microsoft.com/office/drawing/2014/main" id="{EF931253-EEA8-AC90-F996-59B7B0E76DBD}"/>
            </a:ext>
          </a:extLst>
        </xdr:cNvPr>
        <xdr:cNvPicPr>
          <a:picLocks noChangeAspect="1"/>
        </xdr:cNvPicPr>
      </xdr:nvPicPr>
      <xdr:blipFill>
        <a:blip xmlns:r="http://schemas.openxmlformats.org/officeDocument/2006/relationships" r:embed="rId5"/>
        <a:stretch>
          <a:fillRect/>
        </a:stretch>
      </xdr:blipFill>
      <xdr:spPr>
        <a:xfrm>
          <a:off x="9525" y="4695826"/>
          <a:ext cx="1952688" cy="4208092"/>
        </a:xfrm>
        <a:prstGeom prst="rect">
          <a:avLst/>
        </a:prstGeom>
      </xdr:spPr>
    </xdr:pic>
    <xdr:clientData/>
  </xdr:twoCellAnchor>
  <xdr:twoCellAnchor editAs="oneCell">
    <xdr:from>
      <xdr:col>2</xdr:col>
      <xdr:colOff>604362</xdr:colOff>
      <xdr:row>27</xdr:row>
      <xdr:rowOff>66676</xdr:rowOff>
    </xdr:from>
    <xdr:to>
      <xdr:col>5</xdr:col>
      <xdr:colOff>361854</xdr:colOff>
      <xdr:row>51</xdr:row>
      <xdr:rowOff>137297</xdr:rowOff>
    </xdr:to>
    <xdr:pic>
      <xdr:nvPicPr>
        <xdr:cNvPr id="7" name="图片 6">
          <a:extLst>
            <a:ext uri="{FF2B5EF4-FFF2-40B4-BE49-F238E27FC236}">
              <a16:creationId xmlns:a16="http://schemas.microsoft.com/office/drawing/2014/main" id="{26DD0A86-F86B-7E57-3465-08BFD6429786}"/>
            </a:ext>
          </a:extLst>
        </xdr:cNvPr>
        <xdr:cNvPicPr>
          <a:picLocks noChangeAspect="1"/>
        </xdr:cNvPicPr>
      </xdr:nvPicPr>
      <xdr:blipFill>
        <a:blip xmlns:r="http://schemas.openxmlformats.org/officeDocument/2006/relationships" r:embed="rId6"/>
        <a:stretch>
          <a:fillRect/>
        </a:stretch>
      </xdr:blipFill>
      <xdr:spPr>
        <a:xfrm>
          <a:off x="1975962" y="4695826"/>
          <a:ext cx="1929192" cy="4185421"/>
        </a:xfrm>
        <a:prstGeom prst="rect">
          <a:avLst/>
        </a:prstGeom>
      </xdr:spPr>
    </xdr:pic>
    <xdr:clientData/>
  </xdr:twoCellAnchor>
  <xdr:twoCellAnchor editAs="oneCell">
    <xdr:from>
      <xdr:col>5</xdr:col>
      <xdr:colOff>482368</xdr:colOff>
      <xdr:row>27</xdr:row>
      <xdr:rowOff>66676</xdr:rowOff>
    </xdr:from>
    <xdr:to>
      <xdr:col>8</xdr:col>
      <xdr:colOff>353878</xdr:colOff>
      <xdr:row>51</xdr:row>
      <xdr:rowOff>154380</xdr:rowOff>
    </xdr:to>
    <xdr:pic>
      <xdr:nvPicPr>
        <xdr:cNvPr id="8" name="图片 7">
          <a:extLst>
            <a:ext uri="{FF2B5EF4-FFF2-40B4-BE49-F238E27FC236}">
              <a16:creationId xmlns:a16="http://schemas.microsoft.com/office/drawing/2014/main" id="{A82A1C70-B57E-5A66-5D0D-B5FBD619023D}"/>
            </a:ext>
          </a:extLst>
        </xdr:cNvPr>
        <xdr:cNvPicPr>
          <a:picLocks noChangeAspect="1"/>
        </xdr:cNvPicPr>
      </xdr:nvPicPr>
      <xdr:blipFill>
        <a:blip xmlns:r="http://schemas.openxmlformats.org/officeDocument/2006/relationships" r:embed="rId7"/>
        <a:stretch>
          <a:fillRect/>
        </a:stretch>
      </xdr:blipFill>
      <xdr:spPr>
        <a:xfrm>
          <a:off x="3911368" y="4695826"/>
          <a:ext cx="1928910" cy="4202504"/>
        </a:xfrm>
        <a:prstGeom prst="rect">
          <a:avLst/>
        </a:prstGeom>
      </xdr:spPr>
    </xdr:pic>
    <xdr:clientData/>
  </xdr:twoCellAnchor>
  <xdr:twoCellAnchor editAs="oneCell">
    <xdr:from>
      <xdr:col>8</xdr:col>
      <xdr:colOff>368069</xdr:colOff>
      <xdr:row>27</xdr:row>
      <xdr:rowOff>66676</xdr:rowOff>
    </xdr:from>
    <xdr:to>
      <xdr:col>11</xdr:col>
      <xdr:colOff>253201</xdr:colOff>
      <xdr:row>51</xdr:row>
      <xdr:rowOff>161925</xdr:rowOff>
    </xdr:to>
    <xdr:pic>
      <xdr:nvPicPr>
        <xdr:cNvPr id="9" name="图片 8">
          <a:extLst>
            <a:ext uri="{FF2B5EF4-FFF2-40B4-BE49-F238E27FC236}">
              <a16:creationId xmlns:a16="http://schemas.microsoft.com/office/drawing/2014/main" id="{DD4DCE95-713A-0A17-9CF3-38859A8AC9F3}"/>
            </a:ext>
          </a:extLst>
        </xdr:cNvPr>
        <xdr:cNvPicPr>
          <a:picLocks noChangeAspect="1"/>
        </xdr:cNvPicPr>
      </xdr:nvPicPr>
      <xdr:blipFill>
        <a:blip xmlns:r="http://schemas.openxmlformats.org/officeDocument/2006/relationships" r:embed="rId8"/>
        <a:stretch>
          <a:fillRect/>
        </a:stretch>
      </xdr:blipFill>
      <xdr:spPr>
        <a:xfrm>
          <a:off x="5854469" y="4695826"/>
          <a:ext cx="1942532" cy="4210049"/>
        </a:xfrm>
        <a:prstGeom prst="rect">
          <a:avLst/>
        </a:prstGeom>
      </xdr:spPr>
    </xdr:pic>
    <xdr:clientData/>
  </xdr:twoCellAnchor>
  <xdr:twoCellAnchor editAs="oneCell">
    <xdr:from>
      <xdr:col>19</xdr:col>
      <xdr:colOff>28575</xdr:colOff>
      <xdr:row>1</xdr:row>
      <xdr:rowOff>0</xdr:rowOff>
    </xdr:from>
    <xdr:to>
      <xdr:col>25</xdr:col>
      <xdr:colOff>609600</xdr:colOff>
      <xdr:row>42</xdr:row>
      <xdr:rowOff>5687</xdr:rowOff>
    </xdr:to>
    <xdr:pic>
      <xdr:nvPicPr>
        <xdr:cNvPr id="11" name="图片 10">
          <a:extLst>
            <a:ext uri="{FF2B5EF4-FFF2-40B4-BE49-F238E27FC236}">
              <a16:creationId xmlns:a16="http://schemas.microsoft.com/office/drawing/2014/main" id="{23FA75A8-DE4A-CF61-D7ED-A48884A9ED54}"/>
            </a:ext>
          </a:extLst>
        </xdr:cNvPr>
        <xdr:cNvPicPr>
          <a:picLocks noChangeAspect="1"/>
        </xdr:cNvPicPr>
      </xdr:nvPicPr>
      <xdr:blipFill>
        <a:blip xmlns:r="http://schemas.openxmlformats.org/officeDocument/2006/relationships" r:embed="rId9"/>
        <a:stretch>
          <a:fillRect/>
        </a:stretch>
      </xdr:blipFill>
      <xdr:spPr>
        <a:xfrm>
          <a:off x="13058775" y="171450"/>
          <a:ext cx="4695825" cy="7035137"/>
        </a:xfrm>
        <a:prstGeom prst="rect">
          <a:avLst/>
        </a:prstGeom>
      </xdr:spPr>
    </xdr:pic>
    <xdr:clientData/>
  </xdr:twoCellAnchor>
  <xdr:twoCellAnchor editAs="oneCell">
    <xdr:from>
      <xdr:col>26</xdr:col>
      <xdr:colOff>257175</xdr:colOff>
      <xdr:row>0</xdr:row>
      <xdr:rowOff>160523</xdr:rowOff>
    </xdr:from>
    <xdr:to>
      <xdr:col>38</xdr:col>
      <xdr:colOff>65567</xdr:colOff>
      <xdr:row>18</xdr:row>
      <xdr:rowOff>56746</xdr:rowOff>
    </xdr:to>
    <xdr:pic>
      <xdr:nvPicPr>
        <xdr:cNvPr id="12" name="图片 11">
          <a:extLst>
            <a:ext uri="{FF2B5EF4-FFF2-40B4-BE49-F238E27FC236}">
              <a16:creationId xmlns:a16="http://schemas.microsoft.com/office/drawing/2014/main" id="{39BFB10D-ED8E-E734-583D-35A560899878}"/>
            </a:ext>
          </a:extLst>
        </xdr:cNvPr>
        <xdr:cNvPicPr>
          <a:picLocks noChangeAspect="1"/>
        </xdr:cNvPicPr>
      </xdr:nvPicPr>
      <xdr:blipFill>
        <a:blip xmlns:r="http://schemas.openxmlformats.org/officeDocument/2006/relationships" r:embed="rId10"/>
        <a:stretch>
          <a:fillRect/>
        </a:stretch>
      </xdr:blipFill>
      <xdr:spPr>
        <a:xfrm>
          <a:off x="18126075" y="160523"/>
          <a:ext cx="8190392" cy="2982323"/>
        </a:xfrm>
        <a:prstGeom prst="rect">
          <a:avLst/>
        </a:prstGeom>
      </xdr:spPr>
    </xdr:pic>
    <xdr:clientData/>
  </xdr:twoCellAnchor>
  <xdr:twoCellAnchor editAs="oneCell">
    <xdr:from>
      <xdr:col>8</xdr:col>
      <xdr:colOff>347135</xdr:colOff>
      <xdr:row>53</xdr:row>
      <xdr:rowOff>9525</xdr:rowOff>
    </xdr:from>
    <xdr:to>
      <xdr:col>13</xdr:col>
      <xdr:colOff>218977</xdr:colOff>
      <xdr:row>95</xdr:row>
      <xdr:rowOff>27075</xdr:rowOff>
    </xdr:to>
    <xdr:pic>
      <xdr:nvPicPr>
        <xdr:cNvPr id="13" name="图片 12">
          <a:extLst>
            <a:ext uri="{FF2B5EF4-FFF2-40B4-BE49-F238E27FC236}">
              <a16:creationId xmlns:a16="http://schemas.microsoft.com/office/drawing/2014/main" id="{C649D4E8-128C-C845-9EBA-CDA750B12C06}"/>
            </a:ext>
          </a:extLst>
        </xdr:cNvPr>
        <xdr:cNvPicPr>
          <a:picLocks noChangeAspect="1"/>
        </xdr:cNvPicPr>
      </xdr:nvPicPr>
      <xdr:blipFill>
        <a:blip xmlns:r="http://schemas.openxmlformats.org/officeDocument/2006/relationships" r:embed="rId11"/>
        <a:stretch>
          <a:fillRect/>
        </a:stretch>
      </xdr:blipFill>
      <xdr:spPr>
        <a:xfrm>
          <a:off x="5871635" y="9096375"/>
          <a:ext cx="3300842" cy="7218450"/>
        </a:xfrm>
        <a:prstGeom prst="rect">
          <a:avLst/>
        </a:prstGeom>
      </xdr:spPr>
    </xdr:pic>
    <xdr:clientData/>
  </xdr:twoCellAnchor>
  <xdr:twoCellAnchor editAs="oneCell">
    <xdr:from>
      <xdr:col>14</xdr:col>
      <xdr:colOff>333036</xdr:colOff>
      <xdr:row>52</xdr:row>
      <xdr:rowOff>160606</xdr:rowOff>
    </xdr:from>
    <xdr:to>
      <xdr:col>18</xdr:col>
      <xdr:colOff>485211</xdr:colOff>
      <xdr:row>90</xdr:row>
      <xdr:rowOff>92999</xdr:rowOff>
    </xdr:to>
    <xdr:pic>
      <xdr:nvPicPr>
        <xdr:cNvPr id="14" name="图片 13">
          <a:extLst>
            <a:ext uri="{FF2B5EF4-FFF2-40B4-BE49-F238E27FC236}">
              <a16:creationId xmlns:a16="http://schemas.microsoft.com/office/drawing/2014/main" id="{D977F502-953D-8A5C-4A34-E4F26F6931CD}"/>
            </a:ext>
          </a:extLst>
        </xdr:cNvPr>
        <xdr:cNvPicPr>
          <a:picLocks noChangeAspect="1"/>
        </xdr:cNvPicPr>
      </xdr:nvPicPr>
      <xdr:blipFill>
        <a:blip xmlns:r="http://schemas.openxmlformats.org/officeDocument/2006/relationships" r:embed="rId12"/>
        <a:stretch>
          <a:fillRect/>
        </a:stretch>
      </xdr:blipFill>
      <xdr:spPr>
        <a:xfrm>
          <a:off x="9972336" y="9076006"/>
          <a:ext cx="2895375" cy="6447493"/>
        </a:xfrm>
        <a:prstGeom prst="rect">
          <a:avLst/>
        </a:prstGeom>
      </xdr:spPr>
    </xdr:pic>
    <xdr:clientData/>
  </xdr:twoCellAnchor>
  <xdr:twoCellAnchor editAs="oneCell">
    <xdr:from>
      <xdr:col>19</xdr:col>
      <xdr:colOff>531373</xdr:colOff>
      <xdr:row>53</xdr:row>
      <xdr:rowOff>16179</xdr:rowOff>
    </xdr:from>
    <xdr:to>
      <xdr:col>24</xdr:col>
      <xdr:colOff>454612</xdr:colOff>
      <xdr:row>95</xdr:row>
      <xdr:rowOff>5175</xdr:rowOff>
    </xdr:to>
    <xdr:pic>
      <xdr:nvPicPr>
        <xdr:cNvPr id="15" name="图片 14">
          <a:extLst>
            <a:ext uri="{FF2B5EF4-FFF2-40B4-BE49-F238E27FC236}">
              <a16:creationId xmlns:a16="http://schemas.microsoft.com/office/drawing/2014/main" id="{59CEF493-A6C4-D8B0-2D7A-C1B645F1F3F9}"/>
            </a:ext>
          </a:extLst>
        </xdr:cNvPr>
        <xdr:cNvPicPr>
          <a:picLocks noChangeAspect="1"/>
        </xdr:cNvPicPr>
      </xdr:nvPicPr>
      <xdr:blipFill>
        <a:blip xmlns:r="http://schemas.openxmlformats.org/officeDocument/2006/relationships" r:embed="rId13"/>
        <a:stretch>
          <a:fillRect/>
        </a:stretch>
      </xdr:blipFill>
      <xdr:spPr>
        <a:xfrm>
          <a:off x="13599673" y="9103029"/>
          <a:ext cx="3352239" cy="7189896"/>
        </a:xfrm>
        <a:prstGeom prst="rect">
          <a:avLst/>
        </a:prstGeom>
      </xdr:spPr>
    </xdr:pic>
    <xdr:clientData/>
  </xdr:twoCellAnchor>
  <xdr:twoCellAnchor editAs="oneCell">
    <xdr:from>
      <xdr:col>25</xdr:col>
      <xdr:colOff>600075</xdr:colOff>
      <xdr:row>53</xdr:row>
      <xdr:rowOff>19050</xdr:rowOff>
    </xdr:from>
    <xdr:to>
      <xdr:col>30</xdr:col>
      <xdr:colOff>279899</xdr:colOff>
      <xdr:row>94</xdr:row>
      <xdr:rowOff>85725</xdr:rowOff>
    </xdr:to>
    <xdr:pic>
      <xdr:nvPicPr>
        <xdr:cNvPr id="16" name="图片 15">
          <a:extLst>
            <a:ext uri="{FF2B5EF4-FFF2-40B4-BE49-F238E27FC236}">
              <a16:creationId xmlns:a16="http://schemas.microsoft.com/office/drawing/2014/main" id="{569E65CE-F599-68D6-2E11-FD8DC38CB9E7}"/>
            </a:ext>
          </a:extLst>
        </xdr:cNvPr>
        <xdr:cNvPicPr>
          <a:picLocks noChangeAspect="1"/>
        </xdr:cNvPicPr>
      </xdr:nvPicPr>
      <xdr:blipFill>
        <a:blip xmlns:r="http://schemas.openxmlformats.org/officeDocument/2006/relationships" r:embed="rId14"/>
        <a:stretch>
          <a:fillRect/>
        </a:stretch>
      </xdr:blipFill>
      <xdr:spPr>
        <a:xfrm>
          <a:off x="17783175" y="9105900"/>
          <a:ext cx="3261224" cy="7096125"/>
        </a:xfrm>
        <a:prstGeom prst="rect">
          <a:avLst/>
        </a:prstGeom>
      </xdr:spPr>
    </xdr:pic>
    <xdr:clientData/>
  </xdr:twoCellAnchor>
  <xdr:twoCellAnchor editAs="oneCell">
    <xdr:from>
      <xdr:col>0</xdr:col>
      <xdr:colOff>95250</xdr:colOff>
      <xdr:row>100</xdr:row>
      <xdr:rowOff>95250</xdr:rowOff>
    </xdr:from>
    <xdr:to>
      <xdr:col>12</xdr:col>
      <xdr:colOff>408493</xdr:colOff>
      <xdr:row>107</xdr:row>
      <xdr:rowOff>57005</xdr:rowOff>
    </xdr:to>
    <xdr:pic>
      <xdr:nvPicPr>
        <xdr:cNvPr id="17" name="图片 16">
          <a:extLst>
            <a:ext uri="{FF2B5EF4-FFF2-40B4-BE49-F238E27FC236}">
              <a16:creationId xmlns:a16="http://schemas.microsoft.com/office/drawing/2014/main" id="{CAD9A57C-1B01-B133-70AC-78F82ACAD9CB}"/>
            </a:ext>
          </a:extLst>
        </xdr:cNvPr>
        <xdr:cNvPicPr>
          <a:picLocks noChangeAspect="1"/>
        </xdr:cNvPicPr>
      </xdr:nvPicPr>
      <xdr:blipFill>
        <a:blip xmlns:r="http://schemas.openxmlformats.org/officeDocument/2006/relationships" r:embed="rId15"/>
        <a:stretch>
          <a:fillRect/>
        </a:stretch>
      </xdr:blipFill>
      <xdr:spPr>
        <a:xfrm>
          <a:off x="95250" y="17240250"/>
          <a:ext cx="8657143" cy="1161905"/>
        </a:xfrm>
        <a:prstGeom prst="rect">
          <a:avLst/>
        </a:prstGeom>
      </xdr:spPr>
    </xdr:pic>
    <xdr:clientData/>
  </xdr:twoCellAnchor>
  <xdr:twoCellAnchor editAs="oneCell">
    <xdr:from>
      <xdr:col>0</xdr:col>
      <xdr:colOff>276226</xdr:colOff>
      <xdr:row>107</xdr:row>
      <xdr:rowOff>142875</xdr:rowOff>
    </xdr:from>
    <xdr:to>
      <xdr:col>12</xdr:col>
      <xdr:colOff>470574</xdr:colOff>
      <xdr:row>113</xdr:row>
      <xdr:rowOff>161925</xdr:rowOff>
    </xdr:to>
    <xdr:pic>
      <xdr:nvPicPr>
        <xdr:cNvPr id="18" name="图片 17">
          <a:extLst>
            <a:ext uri="{FF2B5EF4-FFF2-40B4-BE49-F238E27FC236}">
              <a16:creationId xmlns:a16="http://schemas.microsoft.com/office/drawing/2014/main" id="{2004CBA4-7318-89D2-F6A4-19EE5C5B20F1}"/>
            </a:ext>
          </a:extLst>
        </xdr:cNvPr>
        <xdr:cNvPicPr>
          <a:picLocks noChangeAspect="1"/>
        </xdr:cNvPicPr>
      </xdr:nvPicPr>
      <xdr:blipFill>
        <a:blip xmlns:r="http://schemas.openxmlformats.org/officeDocument/2006/relationships" r:embed="rId16"/>
        <a:stretch>
          <a:fillRect/>
        </a:stretch>
      </xdr:blipFill>
      <xdr:spPr>
        <a:xfrm>
          <a:off x="276226" y="18488025"/>
          <a:ext cx="8538248" cy="1047750"/>
        </a:xfrm>
        <a:prstGeom prst="rect">
          <a:avLst/>
        </a:prstGeom>
      </xdr:spPr>
    </xdr:pic>
    <xdr:clientData/>
  </xdr:twoCellAnchor>
  <xdr:twoCellAnchor editAs="oneCell">
    <xdr:from>
      <xdr:col>0</xdr:col>
      <xdr:colOff>361950</xdr:colOff>
      <xdr:row>114</xdr:row>
      <xdr:rowOff>104776</xdr:rowOff>
    </xdr:from>
    <xdr:to>
      <xdr:col>12</xdr:col>
      <xdr:colOff>321847</xdr:colOff>
      <xdr:row>123</xdr:row>
      <xdr:rowOff>123826</xdr:rowOff>
    </xdr:to>
    <xdr:pic>
      <xdr:nvPicPr>
        <xdr:cNvPr id="19" name="图片 18">
          <a:extLst>
            <a:ext uri="{FF2B5EF4-FFF2-40B4-BE49-F238E27FC236}">
              <a16:creationId xmlns:a16="http://schemas.microsoft.com/office/drawing/2014/main" id="{C9F62FE8-1FED-CEDD-EEB9-B29ECA0AD8A9}"/>
            </a:ext>
          </a:extLst>
        </xdr:cNvPr>
        <xdr:cNvPicPr>
          <a:picLocks noChangeAspect="1"/>
        </xdr:cNvPicPr>
      </xdr:nvPicPr>
      <xdr:blipFill>
        <a:blip xmlns:r="http://schemas.openxmlformats.org/officeDocument/2006/relationships" r:embed="rId17"/>
        <a:stretch>
          <a:fillRect/>
        </a:stretch>
      </xdr:blipFill>
      <xdr:spPr>
        <a:xfrm>
          <a:off x="361950" y="19650076"/>
          <a:ext cx="8303797" cy="1562100"/>
        </a:xfrm>
        <a:prstGeom prst="rect">
          <a:avLst/>
        </a:prstGeom>
      </xdr:spPr>
    </xdr:pic>
    <xdr:clientData/>
  </xdr:twoCellAnchor>
  <xdr:twoCellAnchor editAs="oneCell">
    <xdr:from>
      <xdr:col>0</xdr:col>
      <xdr:colOff>361950</xdr:colOff>
      <xdr:row>124</xdr:row>
      <xdr:rowOff>104775</xdr:rowOff>
    </xdr:from>
    <xdr:to>
      <xdr:col>12</xdr:col>
      <xdr:colOff>219075</xdr:colOff>
      <xdr:row>130</xdr:row>
      <xdr:rowOff>56632</xdr:rowOff>
    </xdr:to>
    <xdr:pic>
      <xdr:nvPicPr>
        <xdr:cNvPr id="20" name="图片 19">
          <a:extLst>
            <a:ext uri="{FF2B5EF4-FFF2-40B4-BE49-F238E27FC236}">
              <a16:creationId xmlns:a16="http://schemas.microsoft.com/office/drawing/2014/main" id="{D87C77B3-53D5-FFBE-1DD4-7526C728D233}"/>
            </a:ext>
          </a:extLst>
        </xdr:cNvPr>
        <xdr:cNvPicPr>
          <a:picLocks noChangeAspect="1"/>
        </xdr:cNvPicPr>
      </xdr:nvPicPr>
      <xdr:blipFill>
        <a:blip xmlns:r="http://schemas.openxmlformats.org/officeDocument/2006/relationships" r:embed="rId18"/>
        <a:stretch>
          <a:fillRect/>
        </a:stretch>
      </xdr:blipFill>
      <xdr:spPr>
        <a:xfrm>
          <a:off x="361950" y="21364575"/>
          <a:ext cx="8201025" cy="980557"/>
        </a:xfrm>
        <a:prstGeom prst="rect">
          <a:avLst/>
        </a:prstGeom>
      </xdr:spPr>
    </xdr:pic>
    <xdr:clientData/>
  </xdr:twoCellAnchor>
  <xdr:twoCellAnchor editAs="oneCell">
    <xdr:from>
      <xdr:col>0</xdr:col>
      <xdr:colOff>295275</xdr:colOff>
      <xdr:row>131</xdr:row>
      <xdr:rowOff>57150</xdr:rowOff>
    </xdr:from>
    <xdr:to>
      <xdr:col>12</xdr:col>
      <xdr:colOff>370423</xdr:colOff>
      <xdr:row>137</xdr:row>
      <xdr:rowOff>57021</xdr:rowOff>
    </xdr:to>
    <xdr:pic>
      <xdr:nvPicPr>
        <xdr:cNvPr id="21" name="图片 20">
          <a:extLst>
            <a:ext uri="{FF2B5EF4-FFF2-40B4-BE49-F238E27FC236}">
              <a16:creationId xmlns:a16="http://schemas.microsoft.com/office/drawing/2014/main" id="{D60C5629-1B40-B8A9-9C71-A707A74D53FE}"/>
            </a:ext>
          </a:extLst>
        </xdr:cNvPr>
        <xdr:cNvPicPr>
          <a:picLocks noChangeAspect="1"/>
        </xdr:cNvPicPr>
      </xdr:nvPicPr>
      <xdr:blipFill>
        <a:blip xmlns:r="http://schemas.openxmlformats.org/officeDocument/2006/relationships" r:embed="rId19"/>
        <a:stretch>
          <a:fillRect/>
        </a:stretch>
      </xdr:blipFill>
      <xdr:spPr>
        <a:xfrm>
          <a:off x="295275" y="22517100"/>
          <a:ext cx="8419048" cy="1028571"/>
        </a:xfrm>
        <a:prstGeom prst="rect">
          <a:avLst/>
        </a:prstGeom>
      </xdr:spPr>
    </xdr:pic>
    <xdr:clientData/>
  </xdr:twoCellAnchor>
  <xdr:twoCellAnchor editAs="oneCell">
    <xdr:from>
      <xdr:col>0</xdr:col>
      <xdr:colOff>266700</xdr:colOff>
      <xdr:row>138</xdr:row>
      <xdr:rowOff>133350</xdr:rowOff>
    </xdr:from>
    <xdr:to>
      <xdr:col>12</xdr:col>
      <xdr:colOff>303752</xdr:colOff>
      <xdr:row>144</xdr:row>
      <xdr:rowOff>161793</xdr:rowOff>
    </xdr:to>
    <xdr:pic>
      <xdr:nvPicPr>
        <xdr:cNvPr id="22" name="图片 21">
          <a:extLst>
            <a:ext uri="{FF2B5EF4-FFF2-40B4-BE49-F238E27FC236}">
              <a16:creationId xmlns:a16="http://schemas.microsoft.com/office/drawing/2014/main" id="{6F1FE8C9-9412-7030-7EEC-3E834C4241A7}"/>
            </a:ext>
          </a:extLst>
        </xdr:cNvPr>
        <xdr:cNvPicPr>
          <a:picLocks noChangeAspect="1"/>
        </xdr:cNvPicPr>
      </xdr:nvPicPr>
      <xdr:blipFill>
        <a:blip xmlns:r="http://schemas.openxmlformats.org/officeDocument/2006/relationships" r:embed="rId20"/>
        <a:stretch>
          <a:fillRect/>
        </a:stretch>
      </xdr:blipFill>
      <xdr:spPr>
        <a:xfrm>
          <a:off x="266700" y="23793450"/>
          <a:ext cx="8380952" cy="1057143"/>
        </a:xfrm>
        <a:prstGeom prst="rect">
          <a:avLst/>
        </a:prstGeom>
      </xdr:spPr>
    </xdr:pic>
    <xdr:clientData/>
  </xdr:twoCellAnchor>
  <xdr:twoCellAnchor editAs="oneCell">
    <xdr:from>
      <xdr:col>18</xdr:col>
      <xdr:colOff>38100</xdr:colOff>
      <xdr:row>98</xdr:row>
      <xdr:rowOff>144022</xdr:rowOff>
    </xdr:from>
    <xdr:to>
      <xdr:col>28</xdr:col>
      <xdr:colOff>122668</xdr:colOff>
      <xdr:row>128</xdr:row>
      <xdr:rowOff>75368</xdr:rowOff>
    </xdr:to>
    <xdr:pic>
      <xdr:nvPicPr>
        <xdr:cNvPr id="23" name="图片 22">
          <a:extLst>
            <a:ext uri="{FF2B5EF4-FFF2-40B4-BE49-F238E27FC236}">
              <a16:creationId xmlns:a16="http://schemas.microsoft.com/office/drawing/2014/main" id="{B68E27DE-878A-4C6A-F804-8B3FAA9A0B37}"/>
            </a:ext>
          </a:extLst>
        </xdr:cNvPr>
        <xdr:cNvPicPr>
          <a:picLocks noChangeAspect="1"/>
        </xdr:cNvPicPr>
      </xdr:nvPicPr>
      <xdr:blipFill>
        <a:blip xmlns:r="http://schemas.openxmlformats.org/officeDocument/2006/relationships" r:embed="rId21"/>
        <a:stretch>
          <a:fillRect/>
        </a:stretch>
      </xdr:blipFill>
      <xdr:spPr>
        <a:xfrm>
          <a:off x="12496800" y="16946122"/>
          <a:ext cx="7056868" cy="5074846"/>
        </a:xfrm>
        <a:prstGeom prst="rect">
          <a:avLst/>
        </a:prstGeom>
      </xdr:spPr>
    </xdr:pic>
    <xdr:clientData/>
  </xdr:twoCellAnchor>
  <xdr:twoCellAnchor editAs="oneCell">
    <xdr:from>
      <xdr:col>28</xdr:col>
      <xdr:colOff>333375</xdr:colOff>
      <xdr:row>98</xdr:row>
      <xdr:rowOff>104140</xdr:rowOff>
    </xdr:from>
    <xdr:to>
      <xdr:col>39</xdr:col>
      <xdr:colOff>189232</xdr:colOff>
      <xdr:row>125</xdr:row>
      <xdr:rowOff>56369</xdr:rowOff>
    </xdr:to>
    <xdr:pic>
      <xdr:nvPicPr>
        <xdr:cNvPr id="24" name="图片 23">
          <a:extLst>
            <a:ext uri="{FF2B5EF4-FFF2-40B4-BE49-F238E27FC236}">
              <a16:creationId xmlns:a16="http://schemas.microsoft.com/office/drawing/2014/main" id="{A306F510-051A-6A8D-B03C-5BD9CC21424C}"/>
            </a:ext>
          </a:extLst>
        </xdr:cNvPr>
        <xdr:cNvPicPr>
          <a:picLocks noChangeAspect="1"/>
        </xdr:cNvPicPr>
      </xdr:nvPicPr>
      <xdr:blipFill>
        <a:blip xmlns:r="http://schemas.openxmlformats.org/officeDocument/2006/relationships" r:embed="rId22"/>
        <a:stretch>
          <a:fillRect/>
        </a:stretch>
      </xdr:blipFill>
      <xdr:spPr>
        <a:xfrm>
          <a:off x="19764375" y="16906240"/>
          <a:ext cx="7437757" cy="45813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受贵公司委托，我公司对房地产市场价值进行了预评估。</v>
      </c>
    </row>
    <row r="7" spans="1:2">
      <c r="A7" s="1115" t="s">
        <v>566</v>
      </c>
      <c r="B7" s="1116" t="str">
        <f>'预评函-1'!A7</f>
        <v>估价对象为房地产，为所有。根据《国有土地使用证》[]，估价对象（分摊）出让国有建设用地使用权面积为0平方米，建筑面积为154.79平方米。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估价对象为房地产,属开发建设的，该项目尚在开发建设中。根据《国有土地使用证》[]，估价对象（分摊）出让国有建设用地使用权面积为0平方米，规划建筑面积为154.79平方米。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2025年10月10日（评估专业人员实地查勘之日）</v>
      </c>
    </row>
    <row r="13" spans="1:2">
      <c r="A13" s="1115" t="s">
        <v>529</v>
      </c>
      <c r="B13" s="1116"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房地产</v>
      </c>
    </row>
    <row r="42" spans="1:2">
      <c r="A42" s="1115" t="s">
        <v>590</v>
      </c>
      <c r="B42" s="1116" t="str">
        <f>'预评函-3'!B2</f>
        <v>建筑面积</v>
      </c>
    </row>
    <row r="43" spans="1:2">
      <c r="A43" s="1115" t="s">
        <v>591</v>
      </c>
      <c r="B43" s="1116">
        <f>'预评函-3'!B4</f>
        <v>154.79</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42" sqref="M42"/>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977</v>
      </c>
      <c r="C1" s="1434" t="s">
        <v>314</v>
      </c>
      <c r="D1" s="1435" t="s">
        <v>3346</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c r="X1" s="1434" t="s">
        <v>673</v>
      </c>
      <c r="Y1" s="1434" t="s">
        <v>21</v>
      </c>
      <c r="Z1" s="1434" t="s">
        <v>3402</v>
      </c>
      <c r="AA1" s="1434" t="s">
        <v>3401</v>
      </c>
      <c r="AB1" s="1434" t="s">
        <v>3</v>
      </c>
    </row>
    <row r="2" spans="1:28">
      <c r="A2" s="1437" t="s">
        <v>19</v>
      </c>
      <c r="B2" s="1437" t="s">
        <v>993</v>
      </c>
      <c r="C2" s="1438" t="s">
        <v>315</v>
      </c>
      <c r="D2" s="1439" t="s">
        <v>994</v>
      </c>
      <c r="E2" s="1439" t="s">
        <v>995</v>
      </c>
      <c r="F2" s="1439" t="s">
        <v>996</v>
      </c>
      <c r="G2" s="1439">
        <v>20</v>
      </c>
      <c r="H2" s="1439" t="s">
        <v>996</v>
      </c>
      <c r="I2" s="1439" t="s">
        <v>3332</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c r="X2" s="1441" t="s">
        <v>2435</v>
      </c>
      <c r="Y2" s="1441" t="s">
        <v>3409</v>
      </c>
      <c r="Z2" s="1441" t="s">
        <v>2448</v>
      </c>
      <c r="AA2" s="1441" t="s">
        <v>3410</v>
      </c>
      <c r="AB2" s="1441" t="s">
        <v>2475</v>
      </c>
    </row>
    <row r="3" spans="1:28">
      <c r="A3" s="1437" t="s">
        <v>1001</v>
      </c>
      <c r="B3" s="1440" t="s">
        <v>448</v>
      </c>
      <c r="C3" s="1438" t="s">
        <v>316</v>
      </c>
      <c r="D3" s="1439" t="s">
        <v>1002</v>
      </c>
      <c r="E3" s="1439" t="s">
        <v>13</v>
      </c>
      <c r="F3" s="1439" t="s">
        <v>1003</v>
      </c>
      <c r="G3" s="1439">
        <v>40</v>
      </c>
      <c r="H3" s="1439" t="s">
        <v>1003</v>
      </c>
      <c r="I3" s="1439" t="s">
        <v>3333</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c r="X3" s="1441" t="s">
        <v>2437</v>
      </c>
      <c r="Z3" s="1441" t="s">
        <v>2450</v>
      </c>
      <c r="AB3" s="1441" t="s">
        <v>2477</v>
      </c>
    </row>
    <row r="4" spans="1:28">
      <c r="A4" s="1437" t="s">
        <v>1008</v>
      </c>
      <c r="B4" s="1437" t="s">
        <v>1009</v>
      </c>
      <c r="C4" s="1438" t="s">
        <v>317</v>
      </c>
      <c r="D4" s="1439" t="s">
        <v>389</v>
      </c>
      <c r="E4" s="1439" t="s">
        <v>1010</v>
      </c>
      <c r="F4" s="1439" t="s">
        <v>1011</v>
      </c>
      <c r="G4" s="1439">
        <v>50</v>
      </c>
      <c r="H4" s="1439" t="s">
        <v>1011</v>
      </c>
      <c r="I4" s="1439" t="s">
        <v>3334</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c r="X4" s="1441" t="s">
        <v>2439</v>
      </c>
      <c r="Z4" s="1441" t="s">
        <v>2452</v>
      </c>
      <c r="AB4" s="1441" t="s">
        <v>2479</v>
      </c>
    </row>
    <row r="5" spans="1:28">
      <c r="A5" s="1437" t="s">
        <v>1014</v>
      </c>
      <c r="B5" s="1437" t="s">
        <v>1015</v>
      </c>
      <c r="C5" s="1438" t="s">
        <v>318</v>
      </c>
      <c r="F5" s="1439" t="s">
        <v>1016</v>
      </c>
      <c r="G5" s="1439">
        <v>70</v>
      </c>
      <c r="H5" s="1439" t="s">
        <v>1017</v>
      </c>
      <c r="I5" s="1439" t="s">
        <v>3335</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c r="X5" s="1441" t="s">
        <v>2441</v>
      </c>
      <c r="Z5" s="1441" t="s">
        <v>2454</v>
      </c>
      <c r="AB5" s="1441" t="s">
        <v>3411</v>
      </c>
    </row>
    <row r="6" spans="1:28">
      <c r="A6" s="1437" t="s">
        <v>1020</v>
      </c>
      <c r="B6" s="1440" t="s">
        <v>449</v>
      </c>
      <c r="C6" s="1442" t="s">
        <v>24</v>
      </c>
      <c r="F6" s="1439" t="s">
        <v>1017</v>
      </c>
      <c r="H6" s="1439" t="s">
        <v>1021</v>
      </c>
      <c r="I6" s="1439" t="s">
        <v>3336</v>
      </c>
      <c r="K6" s="1439" t="s">
        <v>1022</v>
      </c>
      <c r="L6" s="1439" t="s">
        <v>1022</v>
      </c>
      <c r="M6" s="1439" t="s">
        <v>1022</v>
      </c>
      <c r="N6" s="1439" t="s">
        <v>1022</v>
      </c>
      <c r="O6" s="1439" t="s">
        <v>1022</v>
      </c>
      <c r="P6" s="1439" t="s">
        <v>1022</v>
      </c>
      <c r="Q6" s="1439" t="s">
        <v>1022</v>
      </c>
      <c r="R6" s="1439" t="s">
        <v>446</v>
      </c>
      <c r="S6" s="1439" t="s">
        <v>1022</v>
      </c>
      <c r="T6" s="1439"/>
      <c r="U6" s="1439" t="s">
        <v>1022</v>
      </c>
      <c r="W6" s="1439" t="s">
        <v>1022</v>
      </c>
      <c r="X6" s="1441" t="s">
        <v>2443</v>
      </c>
      <c r="Z6" s="1441" t="s">
        <v>2456</v>
      </c>
      <c r="AB6" s="1441" t="s">
        <v>2482</v>
      </c>
    </row>
    <row r="7" spans="1:28">
      <c r="A7" s="1437" t="s">
        <v>1023</v>
      </c>
      <c r="B7" s="1440" t="s">
        <v>450</v>
      </c>
      <c r="C7" s="1438" t="s">
        <v>25</v>
      </c>
      <c r="F7" s="1439" t="s">
        <v>1024</v>
      </c>
      <c r="H7" s="1439" t="s">
        <v>1025</v>
      </c>
      <c r="I7" s="1439" t="s">
        <v>3337</v>
      </c>
      <c r="X7" s="1441" t="s">
        <v>2445</v>
      </c>
      <c r="Z7" s="1441" t="s">
        <v>2458</v>
      </c>
      <c r="AB7" s="1441" t="s">
        <v>2484</v>
      </c>
    </row>
    <row r="8" spans="1:28">
      <c r="A8" s="1437" t="s">
        <v>1026</v>
      </c>
      <c r="B8" s="1437" t="s">
        <v>1027</v>
      </c>
      <c r="C8" s="1438" t="s">
        <v>319</v>
      </c>
      <c r="F8" s="1439" t="s">
        <v>1028</v>
      </c>
      <c r="H8" s="1439" t="s">
        <v>2573</v>
      </c>
      <c r="I8" s="1439" t="s">
        <v>3338</v>
      </c>
      <c r="X8" s="1441" t="s">
        <v>3412</v>
      </c>
      <c r="Z8" s="1441" t="s">
        <v>2460</v>
      </c>
      <c r="AB8" s="1441" t="s">
        <v>2486</v>
      </c>
    </row>
    <row r="9" spans="1:28">
      <c r="A9" s="1437" t="s">
        <v>1029</v>
      </c>
      <c r="B9" s="1437" t="s">
        <v>1030</v>
      </c>
      <c r="C9" s="1438" t="s">
        <v>320</v>
      </c>
      <c r="F9" s="1439" t="s">
        <v>1031</v>
      </c>
      <c r="H9" s="1439"/>
      <c r="I9" s="1441" t="s">
        <v>3339</v>
      </c>
      <c r="X9" s="1441" t="s">
        <v>3413</v>
      </c>
      <c r="Z9" s="1441" t="s">
        <v>2462</v>
      </c>
      <c r="AB9" s="1441" t="s">
        <v>2488</v>
      </c>
    </row>
    <row r="10" spans="1:28">
      <c r="A10" s="1437" t="s">
        <v>1032</v>
      </c>
      <c r="B10" s="1437" t="s">
        <v>1033</v>
      </c>
      <c r="C10" s="1438" t="s">
        <v>321</v>
      </c>
      <c r="F10" s="1439" t="s">
        <v>2574</v>
      </c>
      <c r="I10" s="1441" t="s">
        <v>3340</v>
      </c>
      <c r="Z10" s="1441" t="s">
        <v>2464</v>
      </c>
      <c r="AB10" s="1441" t="s">
        <v>2490</v>
      </c>
    </row>
    <row r="11" spans="1:28">
      <c r="A11" s="1437" t="s">
        <v>1034</v>
      </c>
      <c r="B11" s="1437" t="s">
        <v>1035</v>
      </c>
      <c r="C11" s="1438" t="s">
        <v>322</v>
      </c>
      <c r="F11" s="1439" t="s">
        <v>13</v>
      </c>
      <c r="I11" s="1441" t="s">
        <v>3341</v>
      </c>
      <c r="Z11" s="1441" t="s">
        <v>2466</v>
      </c>
      <c r="AB11" s="1441" t="s">
        <v>2492</v>
      </c>
    </row>
    <row r="12" spans="1:28">
      <c r="A12" s="1437" t="s">
        <v>1036</v>
      </c>
      <c r="B12" s="1437" t="s">
        <v>1037</v>
      </c>
      <c r="C12" s="1438" t="s">
        <v>323</v>
      </c>
      <c r="I12" s="1441" t="s">
        <v>3342</v>
      </c>
      <c r="Z12" s="1441" t="s">
        <v>2468</v>
      </c>
      <c r="AB12" s="1441" t="s">
        <v>2494</v>
      </c>
    </row>
    <row r="13" spans="1:28">
      <c r="A13" s="1437" t="s">
        <v>1038</v>
      </c>
      <c r="B13" s="1437" t="s">
        <v>1039</v>
      </c>
      <c r="C13" s="1438" t="s">
        <v>324</v>
      </c>
      <c r="I13" s="1441" t="s">
        <v>3343</v>
      </c>
      <c r="Z13" s="1441" t="s">
        <v>2470</v>
      </c>
    </row>
    <row r="14" spans="1:28">
      <c r="A14" s="1437" t="s">
        <v>1040</v>
      </c>
      <c r="B14" s="1437" t="s">
        <v>1041</v>
      </c>
      <c r="C14" s="1439" t="s">
        <v>13</v>
      </c>
      <c r="I14" s="1441" t="s">
        <v>3344</v>
      </c>
      <c r="Z14" s="1441" t="s">
        <v>2472</v>
      </c>
    </row>
    <row r="15" spans="1:28">
      <c r="A15" s="1437" t="s">
        <v>1042</v>
      </c>
      <c r="B15" s="1437" t="s">
        <v>1043</v>
      </c>
      <c r="C15" s="1438"/>
      <c r="I15" s="1441" t="s">
        <v>3345</v>
      </c>
    </row>
    <row r="16" spans="1:28">
      <c r="A16" s="1437" t="s">
        <v>1044</v>
      </c>
      <c r="B16" s="1437" t="s">
        <v>312</v>
      </c>
      <c r="C16" s="1438"/>
    </row>
    <row r="17" spans="1:3">
      <c r="A17" s="1437" t="s">
        <v>1045</v>
      </c>
      <c r="B17" s="1437" t="s">
        <v>2289</v>
      </c>
      <c r="C17" s="1438"/>
    </row>
    <row r="18" spans="1:3">
      <c r="A18" s="1437" t="s">
        <v>1046</v>
      </c>
      <c r="B18" s="1437" t="s">
        <v>2429</v>
      </c>
      <c r="C18" s="1438"/>
    </row>
    <row r="19" spans="1:3">
      <c r="A19" s="1437" t="s">
        <v>1047</v>
      </c>
      <c r="B19" s="1437" t="s">
        <v>3440</v>
      </c>
      <c r="C19" s="1438"/>
    </row>
    <row r="20" spans="1:3">
      <c r="A20" s="1437" t="s">
        <v>1048</v>
      </c>
      <c r="B20" s="1437" t="s">
        <v>3441</v>
      </c>
      <c r="C20" s="1438"/>
    </row>
    <row r="21" spans="1:3">
      <c r="A21" s="1437" t="s">
        <v>1049</v>
      </c>
      <c r="B21" s="1437" t="s">
        <v>3442</v>
      </c>
      <c r="C21" s="1438"/>
    </row>
    <row r="22" spans="1:3">
      <c r="A22" s="1437" t="s">
        <v>1050</v>
      </c>
      <c r="B22" s="1437" t="s">
        <v>3443</v>
      </c>
      <c r="C22" s="1438"/>
    </row>
    <row r="23" spans="1:3">
      <c r="A23" s="1437" t="s">
        <v>1051</v>
      </c>
      <c r="B23" s="1437" t="s">
        <v>3444</v>
      </c>
      <c r="C23" s="1438"/>
    </row>
    <row r="24" spans="1:3">
      <c r="A24" s="1437" t="s">
        <v>1052</v>
      </c>
      <c r="B24" s="1437" t="s">
        <v>3445</v>
      </c>
      <c r="C24" s="1438"/>
    </row>
    <row r="25" spans="1:3">
      <c r="A25" s="1437" t="s">
        <v>1053</v>
      </c>
      <c r="B25" s="1437" t="s">
        <v>3451</v>
      </c>
      <c r="C25" s="1438"/>
    </row>
    <row r="26" spans="1:3">
      <c r="A26" s="1437" t="s">
        <v>1054</v>
      </c>
      <c r="B26" s="1437" t="s">
        <v>3452</v>
      </c>
      <c r="C26" s="1438"/>
    </row>
    <row r="27" spans="1:3">
      <c r="A27" s="1437" t="s">
        <v>313</v>
      </c>
      <c r="B27" s="1437" t="s">
        <v>3453</v>
      </c>
      <c r="C27" s="1438"/>
    </row>
    <row r="28" spans="1:3">
      <c r="A28" s="1437" t="s">
        <v>313</v>
      </c>
      <c r="B28" s="1437" t="s">
        <v>3454</v>
      </c>
      <c r="C28" s="1438"/>
    </row>
    <row r="29" spans="1:3">
      <c r="A29" s="1437" t="s">
        <v>313</v>
      </c>
      <c r="B29" s="1437" t="s">
        <v>3455</v>
      </c>
      <c r="C29" s="1438"/>
    </row>
    <row r="30" spans="1:3">
      <c r="A30" s="1437" t="s">
        <v>313</v>
      </c>
      <c r="B30" s="1437" t="s">
        <v>3456</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6"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3" t="s">
        <v>385</v>
      </c>
      <c r="C54" s="1441" t="s">
        <v>583</v>
      </c>
    </row>
    <row r="55" spans="1:4">
      <c r="A55" s="3226"/>
      <c r="B55" s="1443" t="s">
        <v>386</v>
      </c>
      <c r="C55" s="1441" t="s">
        <v>584</v>
      </c>
    </row>
    <row r="56" spans="1:4">
      <c r="A56" s="3226"/>
      <c r="B56" s="1443" t="s">
        <v>387</v>
      </c>
      <c r="C56" s="1441" t="s">
        <v>588</v>
      </c>
    </row>
    <row r="57" spans="1:4">
      <c r="A57" s="3226"/>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5" t="s">
        <v>2589</v>
      </c>
      <c r="J1" s="2775"/>
      <c r="K1" s="2775"/>
      <c r="L1" s="2775"/>
      <c r="M1" s="2775"/>
      <c r="N1" s="2960"/>
      <c r="O1" s="2960"/>
      <c r="P1" s="2960"/>
      <c r="Q1" s="2960"/>
      <c r="R1" s="2960"/>
    </row>
    <row r="2" spans="1:18">
      <c r="A2" s="2752"/>
      <c r="B2" s="2753"/>
      <c r="C2" s="2753"/>
      <c r="D2" s="2753"/>
      <c r="E2" s="2753"/>
      <c r="F2" s="2754"/>
      <c r="I2" s="3227" t="s">
        <v>2576</v>
      </c>
      <c r="J2" s="3227"/>
      <c r="K2" s="3227"/>
      <c r="L2" s="3227"/>
      <c r="M2" s="3227"/>
      <c r="N2" s="3227"/>
      <c r="O2" s="3227"/>
      <c r="P2" s="3227"/>
      <c r="Q2" s="3227"/>
      <c r="R2" s="3227"/>
    </row>
    <row r="3" spans="1:18">
      <c r="A3" s="2755" t="s">
        <v>2497</v>
      </c>
      <c r="B3" s="2756">
        <f>项目基本情况!D3</f>
        <v>45940</v>
      </c>
      <c r="C3" s="2758"/>
      <c r="D3" s="2758"/>
      <c r="E3" s="2758"/>
      <c r="F3" s="2754"/>
      <c r="I3" s="2770"/>
      <c r="J3" s="2770" t="s">
        <v>2580</v>
      </c>
      <c r="K3" s="2770" t="s">
        <v>2581</v>
      </c>
      <c r="L3" s="2770" t="s">
        <v>2582</v>
      </c>
      <c r="M3" s="2770" t="s">
        <v>2583</v>
      </c>
      <c r="N3" s="3126" t="s">
        <v>2584</v>
      </c>
      <c r="O3" s="3126" t="s">
        <v>2585</v>
      </c>
      <c r="P3" s="3126" t="s">
        <v>2586</v>
      </c>
      <c r="Q3" s="3126" t="s">
        <v>2587</v>
      </c>
      <c r="R3" s="3126"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1.19</v>
      </c>
      <c r="D5" s="2760">
        <f>IF(ISERROR(ROUND(POWER(1+E5,A5-C5)*(POWER(1+E5,C5)-1)/(POWER(1+E5,A5)-1),3)),0,ROUND(POWER(1+E5,A5-C5)*(POWER(1+E5,C5)-1)/(POWER(1+E5,A5)-1),4))</f>
        <v>5.7599999999999998E-2</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11.2</v>
      </c>
      <c r="D6" s="2760">
        <f>IF(ISERROR(ROUND(POWER(1+E6,A6-C6)*(POWER(1+E6,C6)-1)/(POWER(1+E6,A6)-1),3)),0,ROUND(POWER(1+E6,A6-C6)*(POWER(1+E6,C6)-1)/(POWER(1+E6,A6)-1),4))</f>
        <v>0.41370000000000001</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31.21</v>
      </c>
      <c r="D7" s="2760">
        <f>IF(ISERROR(ROUND(POWER(1+E7,A7-C7)*(POWER(1+E7,C7)-1)/(POWER(1+E7,A7)-1),3)),0,ROUND(POWER(1+E7,A7-C7)*(POWER(1+E7,C7)-1)/(POWER(1+E7,A7)-1),4))</f>
        <v>0.75439999999999996</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4">
      <c r="A17" s="2755" t="s">
        <v>2513</v>
      </c>
      <c r="B17" s="2763">
        <v>4810</v>
      </c>
      <c r="C17" s="2757"/>
      <c r="D17" s="2753"/>
      <c r="E17" s="2753"/>
      <c r="F17" s="2754"/>
    </row>
    <row r="18" spans="1:14" ht="14.25" thickBot="1">
      <c r="A18" s="2765" t="s">
        <v>2512</v>
      </c>
      <c r="B18" s="2766">
        <f>ROUND(B17*F11/F12,2)</f>
        <v>5541.87</v>
      </c>
      <c r="C18" s="2766">
        <f>ROUND(F11/F12,4)</f>
        <v>1.1521999999999999</v>
      </c>
      <c r="D18" s="2767"/>
      <c r="E18" s="2767"/>
      <c r="F18" s="2768"/>
    </row>
    <row r="19" spans="1:14" ht="14.25" thickBot="1"/>
    <row r="20" spans="1:14" s="2801" customFormat="1" ht="14.25" thickTop="1">
      <c r="A20" s="2798" t="s">
        <v>2515</v>
      </c>
      <c r="B20" s="2799"/>
      <c r="C20" s="2799"/>
      <c r="D20" s="2799"/>
      <c r="E20" s="2799"/>
      <c r="F20" s="2799"/>
      <c r="G20" s="2800"/>
      <c r="I20" s="2802" t="s">
        <v>2560</v>
      </c>
      <c r="J20" s="2802" t="s">
        <v>2565</v>
      </c>
      <c r="K20" s="2802"/>
      <c r="L20" s="2802"/>
      <c r="M20" s="2802"/>
    </row>
    <row r="21" spans="1:14">
      <c r="A21" s="2769"/>
      <c r="B21" s="2770" t="s">
        <v>2516</v>
      </c>
      <c r="C21" s="2770" t="s">
        <v>2517</v>
      </c>
      <c r="D21" s="2770" t="s">
        <v>2518</v>
      </c>
      <c r="E21" s="2770" t="s">
        <v>2519</v>
      </c>
      <c r="F21" s="2770" t="s">
        <v>2520</v>
      </c>
      <c r="G21" s="2771" t="s">
        <v>2521</v>
      </c>
      <c r="I21" s="2792">
        <v>5</v>
      </c>
      <c r="J21" s="2792">
        <v>54.2</v>
      </c>
    </row>
    <row r="22" spans="1:14">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N23" s="3143" t="s">
        <v>2564</v>
      </c>
    </row>
    <row r="24" spans="1:14">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N24" s="3143">
        <v>10</v>
      </c>
    </row>
    <row r="25" spans="1:14">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N25" s="3143">
        <v>8</v>
      </c>
    </row>
    <row r="26" spans="1:14">
      <c r="A26" s="2774"/>
      <c r="B26" s="2775"/>
      <c r="C26" s="2775"/>
      <c r="D26" s="2775"/>
      <c r="E26" s="2775"/>
      <c r="F26" s="2775"/>
      <c r="G26" s="2776"/>
      <c r="I26" s="2792">
        <v>30</v>
      </c>
      <c r="J26" s="2792">
        <v>90.5</v>
      </c>
      <c r="K26" s="2792">
        <f t="shared" si="2"/>
        <v>4.2000000000000028</v>
      </c>
      <c r="L26" s="2792" t="s">
        <v>2567</v>
      </c>
      <c r="N26" s="3143">
        <v>5</v>
      </c>
    </row>
    <row r="27" spans="1:14">
      <c r="A27" s="2774" t="s">
        <v>2526</v>
      </c>
      <c r="B27" s="2775"/>
      <c r="C27" s="2775"/>
      <c r="D27" s="2775"/>
      <c r="E27" s="2775"/>
      <c r="F27" s="2775"/>
      <c r="G27" s="2776"/>
      <c r="I27" s="2792">
        <v>35</v>
      </c>
      <c r="J27" s="2792">
        <v>93.8</v>
      </c>
      <c r="K27" s="2792">
        <f t="shared" si="2"/>
        <v>3.2999999999999972</v>
      </c>
      <c r="L27" s="2792" t="s">
        <v>2568</v>
      </c>
      <c r="N27" s="3143">
        <v>3</v>
      </c>
    </row>
    <row r="28" spans="1:14">
      <c r="A28" s="2774" t="s">
        <v>2527</v>
      </c>
      <c r="B28" s="2775"/>
      <c r="C28" s="2775"/>
      <c r="D28" s="2775"/>
      <c r="E28" s="2775"/>
      <c r="F28" s="2775"/>
      <c r="G28" s="2776"/>
      <c r="I28" s="2792">
        <v>40</v>
      </c>
      <c r="J28" s="2792">
        <v>96.4</v>
      </c>
      <c r="K28" s="2792">
        <f t="shared" si="2"/>
        <v>2.6000000000000085</v>
      </c>
      <c r="L28" s="2792" t="s">
        <v>2569</v>
      </c>
      <c r="N28" s="3143">
        <v>2</v>
      </c>
    </row>
    <row r="29" spans="1:14">
      <c r="A29" s="2774" t="s">
        <v>2528</v>
      </c>
      <c r="B29" s="2775"/>
      <c r="C29" s="2775"/>
      <c r="D29" s="2775"/>
      <c r="E29" s="2775"/>
      <c r="F29" s="2775"/>
      <c r="G29" s="2776"/>
      <c r="I29" s="2792">
        <v>45</v>
      </c>
      <c r="J29" s="2792">
        <v>98.4</v>
      </c>
      <c r="K29" s="2792">
        <f t="shared" si="2"/>
        <v>2</v>
      </c>
    </row>
    <row r="30" spans="1:14">
      <c r="A30" s="2774" t="s">
        <v>2529</v>
      </c>
      <c r="B30" s="2775"/>
      <c r="C30" s="2775"/>
      <c r="D30" s="2775"/>
      <c r="E30" s="2775"/>
      <c r="F30" s="2775"/>
      <c r="G30" s="2776"/>
      <c r="I30" s="2792">
        <v>50</v>
      </c>
      <c r="J30" s="2792">
        <v>100</v>
      </c>
      <c r="K30" s="2792">
        <f t="shared" si="2"/>
        <v>1.5999999999999943</v>
      </c>
    </row>
    <row r="31" spans="1:14">
      <c r="A31" s="2774" t="s">
        <v>2530</v>
      </c>
      <c r="B31" s="2775"/>
      <c r="C31" s="2775"/>
      <c r="D31" s="2775"/>
      <c r="E31" s="2775"/>
      <c r="F31" s="2775"/>
      <c r="G31" s="2776"/>
      <c r="I31" s="2792" t="s">
        <v>2561</v>
      </c>
    </row>
    <row r="32" spans="1:14">
      <c r="A32" s="2774" t="s">
        <v>2531</v>
      </c>
      <c r="B32" s="2775"/>
      <c r="C32" s="2775"/>
      <c r="D32" s="2775"/>
      <c r="E32" s="2775"/>
      <c r="F32" s="2775"/>
      <c r="G32" s="2776"/>
    </row>
    <row r="33" spans="1:14">
      <c r="A33" s="2774" t="s">
        <v>2532</v>
      </c>
      <c r="B33" s="2775"/>
      <c r="C33" s="2775"/>
      <c r="D33" s="2775"/>
      <c r="E33" s="2775"/>
      <c r="F33" s="2775"/>
      <c r="G33" s="2776"/>
      <c r="I33" s="2792" t="s">
        <v>2560</v>
      </c>
      <c r="J33" s="2792" t="s">
        <v>2570</v>
      </c>
    </row>
    <row r="34" spans="1:14">
      <c r="A34" s="2774" t="s">
        <v>2533</v>
      </c>
      <c r="B34" s="2775"/>
      <c r="C34" s="2775"/>
      <c r="D34" s="2775"/>
      <c r="E34" s="2775"/>
      <c r="F34" s="2775"/>
      <c r="G34" s="2776"/>
      <c r="I34" s="2792">
        <v>5</v>
      </c>
      <c r="J34" s="2792">
        <v>55.1</v>
      </c>
    </row>
    <row r="35" spans="1:14">
      <c r="A35" s="2774" t="s">
        <v>2534</v>
      </c>
      <c r="B35" s="2775"/>
      <c r="C35" s="2775"/>
      <c r="D35" s="2775"/>
      <c r="E35" s="2775"/>
      <c r="F35" s="2775"/>
      <c r="G35" s="2776"/>
      <c r="I35" s="2792">
        <v>10</v>
      </c>
      <c r="J35" s="2792">
        <v>67</v>
      </c>
      <c r="K35" s="2792">
        <f>J35-J34</f>
        <v>11.899999999999999</v>
      </c>
    </row>
    <row r="36" spans="1:14">
      <c r="A36" s="2774" t="s">
        <v>2535</v>
      </c>
      <c r="B36" s="2775"/>
      <c r="C36" s="2775"/>
      <c r="D36" s="2775"/>
      <c r="E36" s="2775"/>
      <c r="F36" s="2775"/>
      <c r="G36" s="2776"/>
      <c r="I36" s="2792">
        <v>15</v>
      </c>
      <c r="J36" s="2792">
        <v>76.3</v>
      </c>
      <c r="K36" s="2792">
        <f t="shared" ref="K36:K41" si="3">J36-J35</f>
        <v>9.2999999999999972</v>
      </c>
      <c r="L36" s="2792" t="s">
        <v>2563</v>
      </c>
      <c r="N36" s="3143" t="s">
        <v>2564</v>
      </c>
    </row>
    <row r="37" spans="1:14">
      <c r="A37" s="2774" t="s">
        <v>2536</v>
      </c>
      <c r="B37" s="2775"/>
      <c r="C37" s="2775"/>
      <c r="D37" s="2775"/>
      <c r="E37" s="2775"/>
      <c r="F37" s="2775"/>
      <c r="G37" s="2776"/>
      <c r="I37" s="2792">
        <v>20</v>
      </c>
      <c r="J37" s="2792">
        <v>83.6</v>
      </c>
      <c r="K37" s="2792">
        <f t="shared" si="3"/>
        <v>7.2999999999999972</v>
      </c>
      <c r="L37" s="2792" t="s">
        <v>2562</v>
      </c>
      <c r="N37" s="3143">
        <v>10</v>
      </c>
    </row>
    <row r="38" spans="1:14">
      <c r="A38" s="2774" t="s">
        <v>2537</v>
      </c>
      <c r="B38" s="2775"/>
      <c r="C38" s="2775"/>
      <c r="D38" s="2775"/>
      <c r="E38" s="2775"/>
      <c r="F38" s="2775"/>
      <c r="G38" s="2776"/>
      <c r="I38" s="2792">
        <v>25</v>
      </c>
      <c r="J38" s="2792">
        <v>89.3</v>
      </c>
      <c r="K38" s="2792">
        <f t="shared" si="3"/>
        <v>5.7000000000000028</v>
      </c>
      <c r="L38" s="2792" t="s">
        <v>2566</v>
      </c>
      <c r="N38" s="3143">
        <v>8</v>
      </c>
    </row>
    <row r="39" spans="1:14">
      <c r="A39" s="2774"/>
      <c r="B39" s="2775"/>
      <c r="C39" s="2775"/>
      <c r="D39" s="2775"/>
      <c r="E39" s="2775"/>
      <c r="F39" s="2775"/>
      <c r="G39" s="2776"/>
      <c r="I39" s="2792">
        <v>30</v>
      </c>
      <c r="J39" s="2792">
        <v>93.8</v>
      </c>
      <c r="K39" s="2792">
        <f t="shared" si="3"/>
        <v>4.5</v>
      </c>
      <c r="L39" s="2792" t="s">
        <v>2567</v>
      </c>
      <c r="N39" s="3143">
        <v>6</v>
      </c>
    </row>
    <row r="40" spans="1:14">
      <c r="A40" s="2777" t="s">
        <v>2538</v>
      </c>
      <c r="B40" s="2778"/>
      <c r="C40" s="2778"/>
      <c r="D40" s="2778"/>
      <c r="E40" s="2778"/>
      <c r="F40" s="2778"/>
      <c r="G40" s="2779"/>
      <c r="I40" s="2792">
        <v>35</v>
      </c>
      <c r="J40" s="2792">
        <v>97.2</v>
      </c>
      <c r="K40" s="2792">
        <f t="shared" si="3"/>
        <v>3.4000000000000057</v>
      </c>
      <c r="L40" s="2792" t="s">
        <v>2568</v>
      </c>
      <c r="N40" s="3143">
        <v>3</v>
      </c>
    </row>
    <row r="41" spans="1:14">
      <c r="A41" s="2780" t="s">
        <v>2539</v>
      </c>
      <c r="B41" s="2781" t="s">
        <v>2540</v>
      </c>
      <c r="C41" s="2782" t="s">
        <v>2541</v>
      </c>
      <c r="D41" s="2782" t="s">
        <v>2542</v>
      </c>
      <c r="E41" s="2783"/>
      <c r="F41" s="2784"/>
      <c r="G41" s="2785"/>
      <c r="I41" s="2792">
        <v>40</v>
      </c>
      <c r="J41" s="2792">
        <v>100</v>
      </c>
      <c r="K41" s="2792">
        <f t="shared" si="3"/>
        <v>2.7999999999999972</v>
      </c>
    </row>
    <row r="42" spans="1:14">
      <c r="A42" s="2780" t="s">
        <v>2543</v>
      </c>
      <c r="B42" s="2781" t="s">
        <v>2544</v>
      </c>
      <c r="C42" s="2782" t="s">
        <v>2545</v>
      </c>
      <c r="D42" s="2786" t="s">
        <v>2546</v>
      </c>
      <c r="E42" s="2778" t="s">
        <v>2547</v>
      </c>
      <c r="F42" s="2778"/>
      <c r="G42" s="2779"/>
    </row>
    <row r="43" spans="1:14">
      <c r="A43" s="2780" t="s">
        <v>2548</v>
      </c>
      <c r="B43" s="2781" t="s">
        <v>2549</v>
      </c>
      <c r="C43" s="2782" t="s">
        <v>2550</v>
      </c>
      <c r="D43" s="2782" t="s">
        <v>2551</v>
      </c>
      <c r="E43" s="2783" t="s">
        <v>2552</v>
      </c>
      <c r="F43" s="2784"/>
      <c r="G43" s="2785"/>
      <c r="I43" s="2792" t="s">
        <v>2560</v>
      </c>
      <c r="J43" s="2792" t="s">
        <v>2571</v>
      </c>
    </row>
    <row r="44" spans="1:14">
      <c r="A44" s="2780" t="s">
        <v>2553</v>
      </c>
      <c r="B44" s="2781" t="s">
        <v>2554</v>
      </c>
      <c r="C44" s="2782" t="s">
        <v>2555</v>
      </c>
      <c r="D44" s="2786">
        <v>0.5</v>
      </c>
      <c r="E44" s="2783" t="s">
        <v>2556</v>
      </c>
      <c r="F44" s="2784"/>
      <c r="G44" s="2785"/>
      <c r="I44" s="2792">
        <v>30</v>
      </c>
      <c r="J44" s="2792">
        <v>81.7</v>
      </c>
    </row>
    <row r="45" spans="1:14" ht="14.25" thickBot="1">
      <c r="A45" s="2787" t="s">
        <v>2557</v>
      </c>
      <c r="B45" s="2788" t="s">
        <v>2544</v>
      </c>
      <c r="C45" s="2789" t="s">
        <v>2544</v>
      </c>
      <c r="D45" s="2789" t="s">
        <v>2558</v>
      </c>
      <c r="E45" s="2790" t="s">
        <v>2559</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4.25" thickBot="1"/>
    <row r="49" spans="1:4">
      <c r="A49" s="2748" t="s">
        <v>3382</v>
      </c>
    </row>
    <row r="50" spans="1:4">
      <c r="A50" s="3135" t="s">
        <v>3383</v>
      </c>
      <c r="B50" s="3135" t="s">
        <v>3384</v>
      </c>
      <c r="C50" s="3135" t="s">
        <v>3385</v>
      </c>
      <c r="D50" s="3135" t="s">
        <v>3386</v>
      </c>
    </row>
    <row r="51" spans="1:4">
      <c r="A51" s="3135" t="s">
        <v>3387</v>
      </c>
      <c r="B51" s="2757">
        <f>B52+B53</f>
        <v>15000</v>
      </c>
      <c r="C51" s="3136">
        <f>D51/B51</f>
        <v>2666.6666666666665</v>
      </c>
      <c r="D51" s="2757">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7">
        <f>B51</f>
        <v>15000</v>
      </c>
      <c r="C54" s="2763">
        <v>700</v>
      </c>
      <c r="D54" s="2757">
        <f t="shared" ref="D54:D55" si="5">C54*B54</f>
        <v>10500000</v>
      </c>
    </row>
    <row r="55" spans="1:4">
      <c r="A55" s="3135" t="s">
        <v>3391</v>
      </c>
      <c r="B55" s="2757">
        <f>B51</f>
        <v>15000</v>
      </c>
      <c r="C55" s="2763">
        <v>1500</v>
      </c>
      <c r="D55" s="2757">
        <f t="shared" si="5"/>
        <v>22500000</v>
      </c>
    </row>
    <row r="56" spans="1:4">
      <c r="A56" s="3135" t="s">
        <v>3392</v>
      </c>
      <c r="B56" s="2757">
        <f>B51</f>
        <v>15000</v>
      </c>
      <c r="C56" s="3140">
        <f>C51+C54+C55</f>
        <v>4866.6666666666661</v>
      </c>
      <c r="D56" s="2757">
        <f>D51+D54+D55</f>
        <v>73000000</v>
      </c>
    </row>
    <row r="58" spans="1:4">
      <c r="A58" s="3135" t="s">
        <v>3393</v>
      </c>
      <c r="B58" s="3141">
        <v>0.05</v>
      </c>
      <c r="C58" s="2757">
        <f>C56*(1+B58)</f>
        <v>5110</v>
      </c>
      <c r="D58" s="2757">
        <f>D56*B58</f>
        <v>3650000</v>
      </c>
    </row>
    <row r="60" spans="1:4">
      <c r="A60" s="3135" t="s">
        <v>3394</v>
      </c>
      <c r="B60" s="2763">
        <v>3500</v>
      </c>
      <c r="C60" s="2763">
        <f>C53</f>
        <v>5000</v>
      </c>
      <c r="D60" s="2757">
        <f>C60*B60</f>
        <v>17500000</v>
      </c>
    </row>
    <row r="62" spans="1:4">
      <c r="A62" s="3135" t="s">
        <v>3395</v>
      </c>
      <c r="B62" s="2763">
        <f>B51</f>
        <v>15000</v>
      </c>
      <c r="C62" s="3142">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2168</v>
      </c>
      <c r="B1" s="3235" t="str">
        <f>IF(B10="北京市","北京市",C10)&amp;F10&amp;IF(结果表!G1="在建","出让国有建设用地使用权及在建建筑物",IF(结果表!G1="土地","出让国有建设用地使用权",))&amp;B9&amp;"预评估"</f>
        <v>房地产市场价值预评估</v>
      </c>
      <c r="C1" s="3236"/>
      <c r="D1" s="3236"/>
      <c r="E1" s="3236"/>
      <c r="F1" s="3236"/>
      <c r="G1" s="3236"/>
      <c r="H1" s="3236"/>
      <c r="I1" s="3237"/>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房地产市场价值</v>
      </c>
      <c r="T1" s="1614"/>
      <c r="U1" s="1614"/>
      <c r="V1" s="1614"/>
      <c r="W1" s="1614"/>
      <c r="X1" s="1614"/>
      <c r="Y1" s="1614"/>
      <c r="Z1" s="1614"/>
      <c r="AA1" s="1614"/>
      <c r="AB1" s="1614"/>
    </row>
    <row r="2" spans="1:30">
      <c r="A2" s="2176" t="s">
        <v>2169</v>
      </c>
      <c r="B2" s="122"/>
      <c r="D2" s="2440"/>
      <c r="E2" s="2433"/>
      <c r="F2" s="2433"/>
      <c r="G2" s="2434"/>
      <c r="H2" s="2434"/>
      <c r="I2" s="2434"/>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房地产</v>
      </c>
      <c r="T2" s="1614"/>
      <c r="U2" s="1614"/>
      <c r="V2" s="1614"/>
      <c r="W2" s="1614"/>
      <c r="X2" s="1614"/>
      <c r="Y2" s="1614"/>
      <c r="Z2" s="1614"/>
      <c r="AA2" s="1614"/>
      <c r="AB2" s="1614"/>
    </row>
    <row r="3" spans="1:30">
      <c r="A3" s="294" t="s">
        <v>2170</v>
      </c>
      <c r="B3" s="2179">
        <v>45940</v>
      </c>
      <c r="C3" s="2180" t="s">
        <v>2171</v>
      </c>
      <c r="D3" s="2179">
        <f>B3</f>
        <v>45940</v>
      </c>
      <c r="E3" s="2434"/>
      <c r="F3" s="2434"/>
      <c r="G3" s="2434"/>
      <c r="H3" s="2434"/>
      <c r="I3" s="2434"/>
      <c r="J3" s="2239"/>
      <c r="K3" s="2177"/>
      <c r="L3" s="2178"/>
      <c r="M3" s="2178"/>
      <c r="N3" s="2176"/>
      <c r="O3" s="1462"/>
      <c r="P3" s="2176"/>
      <c r="Q3" s="2176"/>
      <c r="R3" s="2176"/>
      <c r="S3" s="1557"/>
      <c r="T3" s="1614"/>
      <c r="U3" s="1614"/>
      <c r="V3" s="1614"/>
      <c r="W3" s="1614"/>
      <c r="X3" s="1614"/>
      <c r="Y3" s="1614"/>
      <c r="Z3" s="1614"/>
      <c r="AA3" s="1614"/>
      <c r="AB3" s="1614"/>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2173</v>
      </c>
      <c r="B5" s="2185"/>
      <c r="C5" s="2186"/>
      <c r="D5" s="2187"/>
      <c r="E5" s="2434"/>
      <c r="F5" s="2434"/>
      <c r="G5" s="2434"/>
      <c r="H5" s="2434"/>
      <c r="I5" s="2434"/>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2174</v>
      </c>
      <c r="B6" s="2189"/>
      <c r="C6" s="2190"/>
      <c r="D6" s="2191"/>
      <c r="E6" s="2433"/>
      <c r="F6" s="2434"/>
      <c r="G6" s="2434"/>
      <c r="H6" s="2434"/>
      <c r="I6" s="2434"/>
      <c r="J6" s="2239"/>
      <c r="K6" s="2393" t="str">
        <f>IF(COUNTIF(B6,"*上海银行*"),"上海银行","")</f>
        <v/>
      </c>
      <c r="L6" s="2391"/>
      <c r="M6" s="2391"/>
      <c r="N6" s="2239"/>
      <c r="O6" s="1666"/>
      <c r="P6" s="2239"/>
      <c r="Q6" s="2239"/>
      <c r="R6" s="2239"/>
    </row>
    <row r="7" spans="1:30">
      <c r="A7" s="2188" t="s">
        <v>2175</v>
      </c>
      <c r="B7" s="2192"/>
      <c r="C7" s="2190"/>
      <c r="D7" s="2191"/>
      <c r="E7" s="2433"/>
      <c r="F7" s="2434"/>
      <c r="G7" s="2434"/>
      <c r="H7" s="2434"/>
      <c r="I7" s="2434"/>
      <c r="J7" s="2239"/>
      <c r="K7" s="2394"/>
      <c r="L7" s="2391"/>
      <c r="M7" s="2391"/>
      <c r="N7" s="2239"/>
      <c r="O7" s="1666"/>
      <c r="P7" s="2239"/>
      <c r="Q7" s="2239"/>
      <c r="R7" s="2239"/>
    </row>
    <row r="8" spans="1:30">
      <c r="A8" s="2193" t="s">
        <v>2176</v>
      </c>
      <c r="B8" s="2194" t="s">
        <v>3418</v>
      </c>
      <c r="C8" s="2195"/>
      <c r="D8" s="3238" t="s">
        <v>2177</v>
      </c>
      <c r="E8" s="2196"/>
      <c r="F8" s="2197"/>
      <c r="G8" s="2434"/>
      <c r="H8" s="2434"/>
      <c r="I8" s="2434"/>
      <c r="J8" s="2239"/>
      <c r="K8" s="2392"/>
      <c r="L8" s="2391"/>
      <c r="M8" s="2391"/>
      <c r="N8" s="2239"/>
      <c r="O8" s="1666"/>
      <c r="P8" s="2239"/>
      <c r="Q8" s="2239"/>
      <c r="R8" s="2239"/>
    </row>
    <row r="9" spans="1:30" ht="13.5" thickBot="1">
      <c r="A9" s="2198" t="s">
        <v>2178</v>
      </c>
      <c r="B9" s="2199" t="s">
        <v>3419</v>
      </c>
      <c r="C9" s="2200"/>
      <c r="D9" s="3239"/>
      <c r="E9" s="2199"/>
      <c r="F9" s="2201"/>
      <c r="G9" s="2435"/>
      <c r="H9" s="2435"/>
      <c r="I9" s="2435"/>
      <c r="J9" s="2239"/>
      <c r="K9" s="2394"/>
      <c r="L9" s="2391"/>
      <c r="M9" s="2391"/>
      <c r="N9" s="2239"/>
      <c r="O9" s="1666"/>
      <c r="P9" s="2239"/>
      <c r="Q9" s="2239"/>
      <c r="R9" s="2239"/>
    </row>
    <row r="10" spans="1:30" ht="13.5" thickTop="1">
      <c r="A10" s="2202" t="s">
        <v>2179</v>
      </c>
      <c r="B10" s="2203" t="s">
        <v>3459</v>
      </c>
      <c r="C10" s="2204"/>
      <c r="D10" s="2187"/>
      <c r="E10" s="2205" t="s">
        <v>2180</v>
      </c>
      <c r="F10" s="2436"/>
      <c r="G10" s="2437"/>
      <c r="H10" s="2438"/>
      <c r="I10" s="2439"/>
      <c r="J10" s="2239"/>
      <c r="K10" s="2394"/>
      <c r="L10" s="2391"/>
      <c r="M10" s="2391"/>
      <c r="N10" s="2239"/>
      <c r="O10" s="1666"/>
      <c r="P10" s="2239"/>
      <c r="Q10" s="2239"/>
      <c r="R10" s="2239"/>
    </row>
    <row r="11" spans="1:30">
      <c r="A11" s="2206" t="s">
        <v>2181</v>
      </c>
      <c r="B11" s="2207" t="s">
        <v>3420</v>
      </c>
      <c r="C11" s="2208"/>
      <c r="D11" s="2209"/>
      <c r="E11" s="2176"/>
      <c r="F11" s="2176"/>
      <c r="G11" s="2176"/>
      <c r="H11" s="2176"/>
      <c r="I11" s="2176"/>
      <c r="J11" s="2794"/>
      <c r="K11" s="2391"/>
      <c r="L11" s="2391"/>
      <c r="M11" s="2391"/>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3" t="s">
        <v>2572</v>
      </c>
      <c r="J12" s="2795"/>
      <c r="K12" s="2391"/>
      <c r="L12" s="2391"/>
      <c r="M12" s="2239"/>
      <c r="N12" s="1666"/>
      <c r="O12" s="2239"/>
      <c r="P12" s="2239"/>
      <c r="Q12" s="2239"/>
      <c r="AD12" s="1614"/>
    </row>
    <row r="13" spans="1:30">
      <c r="A13" s="3113" t="s">
        <v>3327</v>
      </c>
      <c r="B13" s="2212" t="s">
        <v>2190</v>
      </c>
      <c r="C13" s="799">
        <v>71506</v>
      </c>
      <c r="D13" s="799"/>
      <c r="E13" s="799"/>
      <c r="F13" s="799"/>
      <c r="G13" s="799"/>
      <c r="H13" s="799"/>
      <c r="I13" s="799"/>
      <c r="J13" s="2795"/>
      <c r="K13" s="2391"/>
      <c r="L13" s="2391"/>
      <c r="M13" s="2239"/>
      <c r="N13" s="1666"/>
      <c r="O13" s="2239"/>
      <c r="P13" s="2239"/>
      <c r="Q13" s="2239"/>
      <c r="AD13" s="1614"/>
    </row>
    <row r="14" spans="1:30">
      <c r="A14" s="1014"/>
      <c r="B14" s="2212" t="s">
        <v>2191</v>
      </c>
      <c r="C14" s="2213">
        <v>70</v>
      </c>
      <c r="D14" s="2213">
        <v>40</v>
      </c>
      <c r="E14" s="2213">
        <v>50</v>
      </c>
      <c r="F14" s="2213">
        <v>50</v>
      </c>
      <c r="G14" s="2213">
        <v>50</v>
      </c>
      <c r="H14" s="2213"/>
      <c r="I14" s="2213"/>
      <c r="J14" s="2796"/>
      <c r="K14" s="2391"/>
      <c r="L14" s="2391"/>
      <c r="M14" s="2239"/>
      <c r="N14" s="1666"/>
      <c r="O14" s="2239"/>
      <c r="P14" s="2239"/>
      <c r="Q14" s="2239"/>
      <c r="AD14" s="1614"/>
    </row>
    <row r="15" spans="1:30">
      <c r="A15" s="312"/>
      <c r="B15" s="2214" t="s">
        <v>2192</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6"/>
      <c r="L15" s="1666"/>
      <c r="M15" s="2239"/>
      <c r="N15" s="1666"/>
      <c r="O15" s="2239"/>
      <c r="P15" s="2239"/>
      <c r="Q15" s="2239"/>
      <c r="AD15" s="1614"/>
    </row>
    <row r="16" spans="1:30">
      <c r="A16" s="2205" t="s">
        <v>2193</v>
      </c>
      <c r="B16" s="3245"/>
      <c r="C16" s="3246"/>
      <c r="D16" s="3247"/>
      <c r="E16" s="2216" t="s">
        <v>2194</v>
      </c>
      <c r="F16" s="3248"/>
      <c r="G16" s="3249"/>
      <c r="H16" s="3249"/>
      <c r="I16" s="3250"/>
      <c r="J16" s="2239"/>
      <c r="K16" s="2395"/>
      <c r="L16" s="1666"/>
      <c r="M16" s="1666"/>
      <c r="N16" s="2239"/>
      <c r="O16" s="1666"/>
      <c r="P16" s="2239"/>
      <c r="Q16" s="2239"/>
      <c r="R16" s="2239"/>
    </row>
    <row r="17" spans="1:28">
      <c r="A17" s="305" t="s">
        <v>2195</v>
      </c>
      <c r="B17" s="294" t="s">
        <v>2196</v>
      </c>
      <c r="C17" s="8">
        <f>'数据-汇总表'!E3</f>
        <v>154.79</v>
      </c>
      <c r="D17" s="1252" t="s">
        <v>2197</v>
      </c>
      <c r="E17" s="3251" t="s">
        <v>2198</v>
      </c>
      <c r="F17" s="3252"/>
      <c r="G17" s="3252"/>
      <c r="H17" s="3252"/>
      <c r="I17" s="3253"/>
      <c r="J17" s="2239"/>
      <c r="K17" s="2396"/>
      <c r="L17" s="1666"/>
      <c r="M17" s="1666"/>
      <c r="N17" s="2239"/>
      <c r="O17" s="1666"/>
      <c r="P17" s="2239"/>
      <c r="Q17" s="2239"/>
      <c r="R17" s="2239"/>
      <c r="S17" s="2239"/>
      <c r="T17" s="2239"/>
      <c r="U17" s="2239"/>
      <c r="V17" s="2239"/>
    </row>
    <row r="18" spans="1:28" ht="24.75" thickBot="1">
      <c r="A18" s="2217" t="s">
        <v>2199</v>
      </c>
      <c r="B18" s="1023" t="s">
        <v>2200</v>
      </c>
      <c r="C18" s="2218">
        <f>'数据-汇总表'!D3</f>
        <v>0</v>
      </c>
      <c r="D18" s="1025" t="s">
        <v>2201</v>
      </c>
      <c r="E18" s="3254" t="s">
        <v>2202</v>
      </c>
      <c r="F18" s="3255"/>
      <c r="G18" s="3255"/>
      <c r="H18" s="3255"/>
      <c r="I18" s="3256"/>
      <c r="J18" s="2239"/>
      <c r="K18" s="2396"/>
      <c r="L18" s="1666"/>
      <c r="M18" s="1666"/>
      <c r="N18" s="2239"/>
      <c r="O18" s="1666"/>
      <c r="P18" s="2239"/>
      <c r="Q18" s="2239"/>
      <c r="R18" s="2239"/>
      <c r="S18" s="2239"/>
      <c r="T18" s="2239"/>
      <c r="U18" s="2239"/>
      <c r="V18" s="2239"/>
    </row>
    <row r="19" spans="1:28" ht="37.5" thickTop="1" thickBot="1">
      <c r="A19" s="319" t="s">
        <v>1055</v>
      </c>
      <c r="B19" s="299" t="s">
        <v>2203</v>
      </c>
      <c r="C19" s="1451" t="s">
        <v>3414</v>
      </c>
      <c r="D19" s="1452" t="s">
        <v>2204</v>
      </c>
      <c r="E19" s="1453"/>
      <c r="F19" s="1454" t="str">
        <f>IF(AND(C19="是",E19="否"),"是否提供他项权证或相关说明","")</f>
        <v/>
      </c>
      <c r="G19" s="1455"/>
      <c r="H19" s="2434"/>
      <c r="I19" s="2434"/>
      <c r="J19" s="2239"/>
      <c r="K19" s="2394"/>
      <c r="L19" s="2391"/>
      <c r="M19" s="2391"/>
      <c r="N19" s="2239"/>
      <c r="O19" s="1666"/>
      <c r="P19" s="2239"/>
      <c r="Q19" s="2239"/>
      <c r="R19" s="2239"/>
      <c r="S19" s="2239"/>
      <c r="T19" s="2239"/>
      <c r="U19" s="2239"/>
      <c r="V19" s="2239"/>
    </row>
    <row r="20" spans="1:28">
      <c r="A20" s="2409" t="s">
        <v>2205</v>
      </c>
      <c r="B20" s="3241" t="s">
        <v>2206</v>
      </c>
      <c r="C20" s="3242"/>
      <c r="D20" s="3243" t="s">
        <v>2207</v>
      </c>
      <c r="E20" s="3244"/>
      <c r="F20" s="2422" t="s">
        <v>1056</v>
      </c>
      <c r="G20" s="2434"/>
      <c r="H20" s="2434"/>
      <c r="I20" s="2434"/>
      <c r="J20" s="2239"/>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2"/>
      <c r="P20" s="2176"/>
      <c r="Q20" s="2176"/>
      <c r="R20" s="2176"/>
      <c r="S20" s="2176"/>
      <c r="T20" s="2176"/>
      <c r="U20" s="2176"/>
      <c r="V20" s="2176"/>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9"/>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09"/>
      <c r="B22" s="2412" t="s">
        <v>2211</v>
      </c>
      <c r="C22" s="2288" t="s">
        <v>1058</v>
      </c>
      <c r="D22" s="2434"/>
      <c r="E22" s="2434"/>
      <c r="F22" s="2434"/>
      <c r="G22" s="2434"/>
      <c r="H22" s="2434"/>
      <c r="I22" s="2434"/>
      <c r="J22" s="2239"/>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3" t="s">
        <v>2212</v>
      </c>
      <c r="B23" s="2285" t="s">
        <v>2213</v>
      </c>
      <c r="C23" s="2414"/>
      <c r="D23" s="2415" t="s">
        <v>2213</v>
      </c>
      <c r="E23" s="2416"/>
      <c r="F23" s="2434"/>
      <c r="G23" s="2434"/>
      <c r="H23" s="2434"/>
      <c r="I23" s="2434"/>
      <c r="J23" s="2239"/>
      <c r="K23" s="2393"/>
      <c r="L23" s="121"/>
      <c r="M23" s="2391"/>
      <c r="N23" s="2239"/>
      <c r="O23" s="1666"/>
      <c r="P23" s="2239"/>
      <c r="Q23" s="2239"/>
      <c r="R23" s="2239"/>
      <c r="S23" s="2239"/>
      <c r="T23" s="2239"/>
      <c r="U23" s="2239"/>
      <c r="V23" s="2239"/>
    </row>
    <row r="24" spans="1:28">
      <c r="A24" s="2413"/>
      <c r="B24" s="2285" t="s">
        <v>1059</v>
      </c>
      <c r="C24" s="2263"/>
      <c r="D24" s="2413" t="s">
        <v>1059</v>
      </c>
      <c r="E24" s="2417"/>
      <c r="F24" s="2434"/>
      <c r="G24" s="2434"/>
      <c r="H24" s="2434"/>
      <c r="I24" s="2434"/>
      <c r="J24" s="2239"/>
      <c r="K24" s="2393"/>
      <c r="L24" s="121"/>
      <c r="M24" s="2391"/>
      <c r="N24" s="2239"/>
      <c r="O24" s="1666"/>
      <c r="P24" s="2239"/>
      <c r="Q24" s="2239"/>
      <c r="R24" s="2239"/>
      <c r="S24" s="2239"/>
      <c r="T24" s="2239"/>
      <c r="U24" s="2239"/>
      <c r="V24" s="2239"/>
    </row>
    <row r="25" spans="1:28">
      <c r="A25" s="2413"/>
      <c r="B25" s="2285" t="s">
        <v>1060</v>
      </c>
      <c r="C25" s="2263"/>
      <c r="D25" s="2413" t="s">
        <v>1060</v>
      </c>
      <c r="E25" s="2417"/>
      <c r="F25" s="2434"/>
      <c r="G25" s="2434"/>
      <c r="H25" s="2434"/>
      <c r="I25" s="2434"/>
      <c r="J25" s="2239"/>
      <c r="K25" s="2394"/>
      <c r="L25" s="2391"/>
      <c r="M25" s="2391"/>
      <c r="N25" s="2239"/>
      <c r="O25" s="1666"/>
      <c r="P25" s="2239"/>
      <c r="Q25" s="2239"/>
      <c r="R25" s="2239"/>
      <c r="S25" s="2239"/>
      <c r="T25" s="2239"/>
      <c r="U25" s="2239"/>
      <c r="V25" s="2239"/>
    </row>
    <row r="26" spans="1:28" ht="13.5" thickBot="1">
      <c r="A26" s="2418"/>
      <c r="B26" s="2419" t="s">
        <v>1061</v>
      </c>
      <c r="C26" s="2420"/>
      <c r="D26" s="2418" t="s">
        <v>1061</v>
      </c>
      <c r="E26" s="2421"/>
      <c r="F26" s="2435"/>
      <c r="G26" s="2435"/>
      <c r="H26" s="2435"/>
      <c r="I26" s="2435"/>
      <c r="J26" s="2239"/>
      <c r="K26" s="2394"/>
      <c r="L26" s="2391"/>
      <c r="M26" s="2391"/>
      <c r="N26" s="2239"/>
      <c r="O26" s="1666"/>
      <c r="P26" s="2239"/>
      <c r="Q26" s="2239"/>
      <c r="R26" s="2239"/>
      <c r="S26" s="2239"/>
      <c r="T26" s="2239"/>
      <c r="U26" s="2239"/>
      <c r="V26" s="2239"/>
    </row>
    <row r="27" spans="1:28" ht="13.5" thickTop="1">
      <c r="A27" s="3229" t="s">
        <v>2214</v>
      </c>
      <c r="B27" s="312" t="s">
        <v>2215</v>
      </c>
      <c r="C27" s="2219"/>
      <c r="D27" s="2220"/>
      <c r="E27" s="2434"/>
      <c r="F27" s="2434"/>
      <c r="G27" s="2434"/>
      <c r="H27" s="2434"/>
      <c r="I27" s="2434"/>
      <c r="J27" s="2239"/>
      <c r="K27" s="2395"/>
      <c r="L27" s="1666"/>
      <c r="M27" s="1666"/>
      <c r="N27" s="2239"/>
      <c r="O27" s="1666"/>
      <c r="P27" s="2239"/>
      <c r="Q27" s="2239"/>
      <c r="R27" s="2239"/>
      <c r="S27" s="2239"/>
      <c r="T27" s="2239"/>
      <c r="U27" s="2239"/>
      <c r="V27" s="2239"/>
    </row>
    <row r="28" spans="1:28">
      <c r="A28" s="3229"/>
      <c r="B28" s="294" t="s">
        <v>2216</v>
      </c>
      <c r="C28" s="2221"/>
      <c r="D28" s="2222"/>
      <c r="E28" s="2434"/>
      <c r="F28" s="2434"/>
      <c r="G28" s="2434"/>
      <c r="H28" s="2434"/>
      <c r="I28" s="2434"/>
      <c r="J28" s="2239"/>
      <c r="K28" s="2394"/>
      <c r="L28" s="2391"/>
      <c r="M28" s="2391"/>
      <c r="N28" s="2239"/>
      <c r="O28" s="1666"/>
      <c r="P28" s="2239"/>
      <c r="Q28" s="2239"/>
      <c r="R28" s="2239"/>
      <c r="S28" s="2239"/>
      <c r="T28" s="2239"/>
      <c r="U28" s="2239"/>
      <c r="V28" s="2239"/>
    </row>
    <row r="29" spans="1:28">
      <c r="A29" s="3229"/>
      <c r="B29" s="294" t="s">
        <v>2217</v>
      </c>
      <c r="C29" s="2223"/>
      <c r="D29" s="2224"/>
      <c r="E29" s="2434"/>
      <c r="F29" s="2434"/>
      <c r="G29" s="2434"/>
      <c r="H29" s="2434"/>
      <c r="I29" s="2434"/>
      <c r="J29" s="2239"/>
      <c r="K29" s="2394"/>
      <c r="L29" s="2391"/>
      <c r="M29" s="2391"/>
      <c r="N29" s="2239"/>
      <c r="O29" s="1666"/>
      <c r="P29" s="2239"/>
      <c r="Q29" s="2239"/>
      <c r="R29" s="2239"/>
      <c r="S29" s="2239"/>
      <c r="T29" s="2239"/>
      <c r="U29" s="2239"/>
      <c r="V29" s="2239"/>
    </row>
    <row r="30" spans="1:28">
      <c r="A30" s="3230"/>
      <c r="B30" s="294" t="s">
        <v>2218</v>
      </c>
      <c r="C30" s="3231"/>
      <c r="D30" s="3232"/>
      <c r="E30" s="2434"/>
      <c r="F30" s="2434"/>
      <c r="G30" s="2434"/>
      <c r="H30" s="2434"/>
      <c r="I30" s="2434"/>
      <c r="J30" s="2239"/>
      <c r="K30" s="2394"/>
      <c r="L30" s="2391"/>
      <c r="M30" s="2391"/>
      <c r="N30" s="2239"/>
      <c r="O30" s="1666"/>
      <c r="P30" s="2239"/>
      <c r="Q30" s="2239"/>
      <c r="R30" s="2239"/>
      <c r="S30" s="2239"/>
      <c r="T30" s="2239"/>
      <c r="U30" s="2239"/>
      <c r="V30" s="2239"/>
    </row>
    <row r="31" spans="1:28">
      <c r="A31" s="3233" t="s">
        <v>2219</v>
      </c>
      <c r="B31" s="2225"/>
      <c r="C31" s="12" t="str">
        <f>IF(B31="现房","成新及维护状况正常否",IF(B31="在建","工程状态是否正常",IF(B31="土地","是否闲置","-")))</f>
        <v>-</v>
      </c>
      <c r="D31" s="1277"/>
      <c r="E31" s="2226"/>
      <c r="F31" s="2434"/>
      <c r="G31" s="2434"/>
      <c r="H31" s="2434"/>
      <c r="I31" s="2434"/>
      <c r="J31" s="2239"/>
      <c r="K31" s="2393"/>
      <c r="L31" s="2391"/>
      <c r="M31" s="2391"/>
      <c r="N31" s="2239"/>
      <c r="O31" s="1666"/>
      <c r="P31" s="2239"/>
      <c r="Q31" s="2239"/>
      <c r="R31" s="2239"/>
      <c r="S31" s="2239"/>
      <c r="T31" s="2239"/>
      <c r="U31" s="2239"/>
      <c r="V31" s="2239"/>
    </row>
    <row r="32" spans="1:28">
      <c r="A32" s="3234"/>
      <c r="B32" s="2225"/>
      <c r="C32" s="12" t="str">
        <f>IF(B32="现房","成新及维护状况是否正常",IF(B32="在建","工程状态是否正常",IF(B32="土地","是否闲置","-")))</f>
        <v>-</v>
      </c>
      <c r="D32" s="1277"/>
      <c r="E32" s="2226"/>
      <c r="F32" s="2434"/>
      <c r="G32" s="2434"/>
      <c r="H32" s="2434"/>
      <c r="I32" s="2434"/>
      <c r="J32" s="2239"/>
      <c r="K32" s="2394"/>
      <c r="L32" s="2391"/>
      <c r="M32" s="2391"/>
      <c r="N32" s="2239"/>
      <c r="O32" s="1666"/>
      <c r="P32" s="2239"/>
      <c r="Q32" s="2239"/>
      <c r="R32" s="2239"/>
      <c r="S32" s="2239"/>
      <c r="T32" s="2239"/>
      <c r="U32" s="2239"/>
      <c r="V32" s="2239"/>
    </row>
    <row r="33" spans="1:30">
      <c r="A33" s="3234"/>
      <c r="B33" s="2228"/>
      <c r="C33" s="1474" t="str">
        <f>IF(B33="现房","成新及维护状况是否正常",IF(B33="在建","工程状态是否正常",IF(B33="土地","是否闲置","-")))</f>
        <v>-</v>
      </c>
      <c r="D33" s="1270"/>
      <c r="E33" s="2229"/>
      <c r="F33" s="2434"/>
      <c r="G33" s="2434"/>
      <c r="H33" s="2434"/>
      <c r="I33" s="2434"/>
      <c r="J33" s="2239"/>
      <c r="K33" s="2394"/>
      <c r="L33" s="2391"/>
      <c r="M33" s="2391"/>
      <c r="N33" s="2239"/>
      <c r="O33" s="1666"/>
      <c r="P33" s="2239"/>
      <c r="Q33" s="2239"/>
      <c r="R33" s="2239"/>
      <c r="S33" s="2239"/>
      <c r="T33" s="2239"/>
      <c r="U33" s="2239"/>
      <c r="V33" s="2239"/>
    </row>
    <row r="34" spans="1:30">
      <c r="A34" s="294" t="s">
        <v>2220</v>
      </c>
      <c r="B34" s="1864"/>
      <c r="C34" s="1864"/>
      <c r="D34" s="1864"/>
      <c r="E34" s="1864"/>
      <c r="F34" s="1864"/>
      <c r="G34" s="1864"/>
      <c r="H34" s="1864"/>
      <c r="I34" s="2434"/>
      <c r="J34" s="2239"/>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39"/>
      <c r="V34" s="2239"/>
    </row>
    <row r="35" spans="1:30">
      <c r="A35" s="2230"/>
      <c r="B35" s="3228" t="s">
        <v>2229</v>
      </c>
      <c r="C35" s="3228"/>
      <c r="D35" s="3228"/>
      <c r="E35" s="3228"/>
      <c r="F35" s="8">
        <f>C10</f>
        <v>0</v>
      </c>
      <c r="G35" s="2434"/>
      <c r="H35" s="2434"/>
      <c r="I35" s="2434"/>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39"/>
      <c r="V35" s="2239"/>
    </row>
    <row r="36" spans="1:30">
      <c r="A36" s="2177"/>
      <c r="B36" s="8" t="s">
        <v>2185</v>
      </c>
      <c r="C36" s="8" t="s">
        <v>2186</v>
      </c>
      <c r="D36" s="8" t="s">
        <v>2184</v>
      </c>
      <c r="E36" s="8" t="s">
        <v>2189</v>
      </c>
      <c r="F36" s="2793" t="s">
        <v>2575</v>
      </c>
      <c r="G36" s="2434"/>
      <c r="H36" s="2434"/>
      <c r="I36" s="2434"/>
      <c r="J36" s="2239"/>
      <c r="K36" s="2394"/>
      <c r="L36" s="2391"/>
      <c r="M36" s="2391"/>
      <c r="N36" s="2239"/>
      <c r="O36" s="1666"/>
      <c r="P36" s="2239"/>
      <c r="Q36" s="2239"/>
      <c r="R36" s="2239"/>
      <c r="S36" s="2239"/>
      <c r="T36" s="2239"/>
      <c r="U36" s="2239"/>
      <c r="V36" s="2239"/>
    </row>
    <row r="37" spans="1:30">
      <c r="A37" s="2407" t="s">
        <v>2230</v>
      </c>
      <c r="B37" s="2231" t="s">
        <v>110</v>
      </c>
      <c r="C37" s="2231" t="s">
        <v>110</v>
      </c>
      <c r="D37" s="2231"/>
      <c r="E37" s="2231"/>
      <c r="F37" s="2231"/>
      <c r="G37" s="2434"/>
      <c r="H37" s="2434"/>
      <c r="I37" s="2434"/>
      <c r="J37" s="2239"/>
      <c r="K37" s="2394"/>
      <c r="L37" s="2391"/>
      <c r="M37" s="2391"/>
      <c r="N37" s="2239"/>
      <c r="O37" s="1666"/>
      <c r="P37" s="2239"/>
      <c r="Q37" s="2239"/>
      <c r="R37" s="2239"/>
      <c r="S37" s="2239"/>
      <c r="T37" s="2239"/>
      <c r="U37" s="2239"/>
      <c r="V37" s="2239"/>
    </row>
    <row r="38" spans="1:30" ht="13.5" thickBot="1">
      <c r="A38" s="2408" t="s">
        <v>2231</v>
      </c>
      <c r="B38" s="2232" t="s">
        <v>3415</v>
      </c>
      <c r="C38" s="2232" t="s">
        <v>3415</v>
      </c>
      <c r="D38" s="2232"/>
      <c r="E38" s="2232"/>
      <c r="F38" s="2232"/>
      <c r="G38" s="2435"/>
      <c r="H38" s="2435"/>
      <c r="I38" s="2435"/>
      <c r="J38" s="2239"/>
      <c r="K38" s="2394"/>
      <c r="L38" s="2391"/>
      <c r="M38" s="2391"/>
      <c r="N38" s="2239"/>
      <c r="O38" s="1666"/>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2"/>
      <c r="J40" s="2239"/>
      <c r="K40" s="2393"/>
      <c r="L40" s="1666"/>
      <c r="M40" s="1666"/>
      <c r="N40" s="2239"/>
      <c r="O40" s="1666"/>
      <c r="P40" s="2239"/>
      <c r="Q40" s="2239"/>
      <c r="R40" s="2239"/>
      <c r="S40" s="2239"/>
      <c r="T40" s="2239"/>
      <c r="U40" s="2239"/>
      <c r="V40" s="2239"/>
    </row>
    <row r="41" spans="1:30">
      <c r="A41" s="2236" t="s">
        <v>2233</v>
      </c>
      <c r="B41" s="1623"/>
      <c r="C41" s="1277"/>
      <c r="D41" s="2176"/>
      <c r="E41" s="2176"/>
      <c r="F41" s="2176"/>
      <c r="G41" s="2176"/>
      <c r="H41" s="2176"/>
      <c r="I41" s="1462"/>
      <c r="J41" s="2239"/>
      <c r="K41" s="2394"/>
      <c r="L41" s="2391"/>
      <c r="M41" s="2391"/>
      <c r="N41" s="2239"/>
      <c r="O41" s="1666"/>
      <c r="P41" s="2239"/>
      <c r="Q41" s="2239"/>
      <c r="R41" s="2239"/>
      <c r="S41" s="2239"/>
      <c r="T41" s="2239"/>
      <c r="U41" s="2239"/>
      <c r="V41" s="2239"/>
    </row>
    <row r="42" spans="1:30" ht="25.5">
      <c r="A42" s="315"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1067</v>
      </c>
      <c r="AZ2" s="983"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154.79</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154.79</v>
      </c>
      <c r="H5" s="13">
        <f t="shared" ref="H5:AT5" si="0">SUM(H13:H656)</f>
        <v>154.79</v>
      </c>
      <c r="I5" s="13">
        <f t="shared" si="0"/>
        <v>154.79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154.79</v>
      </c>
      <c r="BA5" s="15">
        <f t="shared" si="1"/>
        <v>154.79</v>
      </c>
      <c r="BB5" s="15">
        <f t="shared" si="1"/>
        <v>154.79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3416</v>
      </c>
      <c r="J9" s="757"/>
      <c r="K9" s="1487"/>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3401</v>
      </c>
      <c r="J10" s="757"/>
      <c r="K10" s="1493"/>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3417</v>
      </c>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平层住宅</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628"/>
      <c r="D13" s="1509" t="s">
        <v>3414</v>
      </c>
      <c r="E13" s="13">
        <f>IF($C$3="是",ROUND($A$3*G13/$B$3,2),ROUND($A$3*(G13-AT13)/$B$3,2))</f>
        <v>0</v>
      </c>
      <c r="F13" s="29"/>
      <c r="G13" s="30">
        <f>H13+AC13+AT13</f>
        <v>154.79</v>
      </c>
      <c r="H13" s="17">
        <f>SUMIF(I$12:AB$12,"总值",I13:AB13)</f>
        <v>154.79</v>
      </c>
      <c r="I13" s="1510">
        <v>154.79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f t="shared" si="6"/>
        <v>0</v>
      </c>
      <c r="AY13" s="1256">
        <f>ROUND($AY$6*AZ13/$AZ$5,2)</f>
        <v>0</v>
      </c>
      <c r="AZ13" s="13">
        <f>BA13+BL13</f>
        <v>154.79</v>
      </c>
      <c r="BA13" s="13">
        <f>SUM(BB13:BK13)</f>
        <v>154.79</v>
      </c>
      <c r="BB13" s="13">
        <f>IF($D13="是",I13-J13,0)</f>
        <v>154.79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266" t="s">
        <v>1131</v>
      </c>
      <c r="B2" s="3266"/>
      <c r="C2" s="3266"/>
      <c r="D2" s="744" t="s">
        <v>1107</v>
      </c>
      <c r="E2" s="1519" t="s">
        <v>1108</v>
      </c>
      <c r="F2" s="2431"/>
      <c r="G2" s="2424"/>
      <c r="H2" s="2425"/>
      <c r="I2" s="2140" t="s">
        <v>1132</v>
      </c>
      <c r="J2" s="2431"/>
      <c r="K2" s="2431"/>
      <c r="L2" s="2431"/>
      <c r="M2" s="2431"/>
      <c r="N2" s="2432"/>
      <c r="O2" s="2431"/>
      <c r="P2" s="2431"/>
    </row>
    <row r="3" spans="1:16" ht="15.75" thickBot="1">
      <c r="A3" s="3267" t="s">
        <v>1105</v>
      </c>
      <c r="B3" s="3267"/>
      <c r="C3" s="3267"/>
      <c r="D3" s="41">
        <f>'数据-基础表'!AY6</f>
        <v>0</v>
      </c>
      <c r="E3" s="41">
        <f>'数据-基础表'!AZ5</f>
        <v>154.79</v>
      </c>
      <c r="F3" s="2431"/>
      <c r="G3" s="42"/>
      <c r="H3" s="43" t="s">
        <v>1106</v>
      </c>
      <c r="I3" s="798" t="e">
        <f>ROUND('数据-基础表'!B3/'数据-基础表'!A3,2)</f>
        <v>#DIV/0!</v>
      </c>
      <c r="J3" s="2431"/>
      <c r="K3" s="2431"/>
      <c r="L3" s="2431"/>
      <c r="M3" s="2431"/>
      <c r="N3" s="2432"/>
      <c r="O3" s="2431"/>
      <c r="P3" s="2431"/>
    </row>
    <row r="4" spans="1:16" ht="15">
      <c r="A4" s="3268"/>
      <c r="B4" s="3269"/>
      <c r="C4" s="3270"/>
      <c r="D4" s="1520" t="s">
        <v>1107</v>
      </c>
      <c r="E4" s="1521" t="s">
        <v>1108</v>
      </c>
      <c r="F4" s="2431"/>
      <c r="G4" s="2426" t="s">
        <v>1133</v>
      </c>
      <c r="H4" s="43" t="s">
        <v>1113</v>
      </c>
      <c r="I4" s="798" t="e">
        <f>ROUND(SUMIF('数据-基础表'!I9:AS9,"地上",'数据-基础表'!I5:AS5)/'数据-基础表'!A3,2)</f>
        <v>#DIV/0!</v>
      </c>
      <c r="J4" s="2431"/>
      <c r="K4" s="2431"/>
      <c r="L4" s="2431"/>
      <c r="M4" s="2431"/>
      <c r="N4" s="2432"/>
      <c r="O4" s="2431"/>
      <c r="P4" s="2431"/>
    </row>
    <row r="5" spans="1:16">
      <c r="A5" s="42" t="s">
        <v>1109</v>
      </c>
      <c r="B5" s="3271" t="s">
        <v>1110</v>
      </c>
      <c r="C5" s="3271"/>
      <c r="D5" s="43">
        <f>ROUND($D$3*E5/$E$3,2)</f>
        <v>0</v>
      </c>
      <c r="E5" s="44">
        <f>SUMIF('数据-基础表'!$11:$11,"住宅",'数据-基础表'!$5:$5)</f>
        <v>154.79</v>
      </c>
      <c r="F5" s="2431"/>
      <c r="G5" s="42"/>
      <c r="H5" s="43" t="s">
        <v>1106</v>
      </c>
      <c r="I5" s="798" t="e">
        <f>ROUND(E31/D31,2)</f>
        <v>#DIV/0!</v>
      </c>
      <c r="J5" s="2431"/>
      <c r="K5" s="2431"/>
      <c r="L5" s="2431"/>
      <c r="M5" s="2431"/>
      <c r="N5" s="2431"/>
      <c r="O5" s="2431"/>
      <c r="P5" s="2431"/>
    </row>
    <row r="6" spans="1:16" ht="15" thickBot="1">
      <c r="A6" s="1523"/>
      <c r="B6" s="3271" t="s">
        <v>1111</v>
      </c>
      <c r="C6" s="3271"/>
      <c r="D6" s="43">
        <f>ROUND($D$3*E6/$E$3,2)</f>
        <v>0</v>
      </c>
      <c r="E6" s="44">
        <f>E3-E5</f>
        <v>0</v>
      </c>
      <c r="F6" s="2431"/>
      <c r="G6" s="1525" t="s">
        <v>1112</v>
      </c>
      <c r="H6" s="45" t="s">
        <v>1113</v>
      </c>
      <c r="I6" s="2427" t="e">
        <f>ROUND(F31/D31,2)</f>
        <v>#DIV/0!</v>
      </c>
      <c r="J6" s="2431"/>
      <c r="K6" s="2431"/>
      <c r="L6" s="2431"/>
      <c r="M6" s="2431"/>
      <c r="N6" s="2431"/>
      <c r="O6" s="2431"/>
      <c r="P6" s="2431"/>
    </row>
    <row r="7" spans="1:16" ht="15.75" thickBot="1">
      <c r="A7" s="3263"/>
      <c r="B7" s="3264"/>
      <c r="C7" s="3265"/>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v>
      </c>
      <c r="E8" s="46">
        <f>SUMIF('数据-基础表'!BB10:BK10,"地上",'数据-基础表'!BB5:BK5)</f>
        <v>154.79</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v>
      </c>
      <c r="E16" s="48">
        <f>SUM(E8:E15)</f>
        <v>154.79</v>
      </c>
      <c r="F16" s="2431"/>
      <c r="G16" s="2431"/>
      <c r="H16" s="1527" t="s">
        <v>1135</v>
      </c>
      <c r="I16" s="1528"/>
      <c r="J16" s="1067"/>
      <c r="K16" s="3260" t="s">
        <v>1135</v>
      </c>
      <c r="L16" s="3261"/>
      <c r="M16" s="3261"/>
      <c r="N16" s="3261"/>
      <c r="O16" s="3261"/>
      <c r="P16" s="3262"/>
    </row>
    <row r="17" spans="1:19" ht="15">
      <c r="A17" s="1529" t="s">
        <v>1136</v>
      </c>
      <c r="B17" s="1530" t="s">
        <v>1137</v>
      </c>
      <c r="C17" s="1531" t="s">
        <v>1138</v>
      </c>
      <c r="D17" s="1532" t="s">
        <v>1126</v>
      </c>
      <c r="E17" s="1533" t="s">
        <v>1127</v>
      </c>
      <c r="F17" s="1534"/>
      <c r="G17" s="1535"/>
      <c r="H17" s="1536" t="s">
        <v>1139</v>
      </c>
      <c r="I17" s="1537" t="s">
        <v>1124</v>
      </c>
      <c r="J17" s="1067"/>
      <c r="K17" s="3257" t="s">
        <v>1140</v>
      </c>
      <c r="L17" s="3258"/>
      <c r="M17" s="3259"/>
      <c r="N17" s="3257" t="s">
        <v>1141</v>
      </c>
      <c r="O17" s="3258"/>
      <c r="P17" s="3259"/>
      <c r="R17" s="765" t="s">
        <v>1142</v>
      </c>
      <c r="S17" s="54"/>
    </row>
    <row r="18" spans="1:19" ht="15">
      <c r="A18" s="1525"/>
      <c r="B18" s="1522"/>
      <c r="C18" s="1538"/>
      <c r="D18" s="1539"/>
      <c r="E18" s="1540" t="s">
        <v>1143</v>
      </c>
      <c r="F18" s="1541" t="s">
        <v>1144</v>
      </c>
      <c r="G18" s="1542" t="s">
        <v>1145</v>
      </c>
      <c r="H18" s="976" t="s">
        <v>1146</v>
      </c>
      <c r="I18" s="1543" t="s">
        <v>1147</v>
      </c>
      <c r="J18" s="1067"/>
      <c r="K18" s="976" t="s">
        <v>1148</v>
      </c>
      <c r="L18" s="1544" t="s">
        <v>1149</v>
      </c>
      <c r="M18" s="798" t="s">
        <v>1150</v>
      </c>
      <c r="N18" s="976" t="s">
        <v>1148</v>
      </c>
      <c r="O18" s="1544" t="s">
        <v>1149</v>
      </c>
      <c r="P18" s="798" t="s">
        <v>1150</v>
      </c>
      <c r="R18" s="43" t="s">
        <v>1151</v>
      </c>
      <c r="S18" s="43" t="s">
        <v>1152</v>
      </c>
    </row>
    <row r="19" spans="1:19">
      <c r="A19" s="1545"/>
      <c r="B19" s="45" t="s">
        <v>1125</v>
      </c>
      <c r="C19" s="3108" t="s">
        <v>3460</v>
      </c>
      <c r="D19" s="43">
        <f>ROUND($D$3*E19/$E$3,2)</f>
        <v>0</v>
      </c>
      <c r="E19" s="51">
        <f t="shared" ref="E19:E26" si="1">SUM(F19:G19)</f>
        <v>154.79</v>
      </c>
      <c r="F19" s="2550">
        <f>'数据-基础表'!I13</f>
        <v>154.79</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154.79</v>
      </c>
    </row>
    <row r="20" spans="1:19">
      <c r="A20" s="1545"/>
      <c r="B20" s="45" t="s">
        <v>1153</v>
      </c>
      <c r="C20" s="3108"/>
      <c r="D20" s="43">
        <f t="shared" ref="D20:D26" si="6">ROUND($D$3*E20/$E$3,2)</f>
        <v>0</v>
      </c>
      <c r="E20" s="51">
        <f t="shared" si="1"/>
        <v>0</v>
      </c>
      <c r="F20" s="2550"/>
      <c r="G20" s="1239">
        <f>'数据-基础表'!M13</f>
        <v>0</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f>'数据-基础表'!O13</f>
        <v>0</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0</v>
      </c>
    </row>
    <row r="22" spans="1:19">
      <c r="A22" s="1545"/>
      <c r="B22" s="45" t="s">
        <v>1153</v>
      </c>
      <c r="C22" s="3108"/>
      <c r="D22" s="43">
        <f t="shared" si="6"/>
        <v>0</v>
      </c>
      <c r="E22" s="51">
        <f t="shared" si="1"/>
        <v>0</v>
      </c>
      <c r="F22" s="2551"/>
      <c r="G22" s="2552">
        <f>'数据-基础表'!Q13</f>
        <v>0</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0</v>
      </c>
    </row>
    <row r="23" spans="1:19">
      <c r="A23" s="1545"/>
      <c r="B23" s="45" t="s">
        <v>1153</v>
      </c>
      <c r="C23" s="3108"/>
      <c r="D23" s="43">
        <f>ROUND($D$3*E23/$E$3,2)</f>
        <v>0</v>
      </c>
      <c r="E23" s="51">
        <f>SUM(F23:G23)</f>
        <v>0</v>
      </c>
      <c r="F23" s="2551"/>
      <c r="G23" s="2552">
        <f>'数据-基础表'!S13</f>
        <v>0</v>
      </c>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1153</v>
      </c>
      <c r="C24" s="3108"/>
      <c r="D24" s="43">
        <f>ROUND($D$3*E24/$E$3,2)</f>
        <v>0</v>
      </c>
      <c r="E24" s="51">
        <f>SUM(F24:G24)</f>
        <v>0</v>
      </c>
      <c r="F24" s="2551"/>
      <c r="G24" s="2552">
        <f>'数据-基础表'!K13</f>
        <v>0</v>
      </c>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1153</v>
      </c>
      <c r="C25" s="3108"/>
      <c r="D25" s="43">
        <f t="shared" si="6"/>
        <v>0</v>
      </c>
      <c r="E25" s="51">
        <f t="shared" si="1"/>
        <v>0</v>
      </c>
      <c r="F25" s="2551"/>
      <c r="G25" s="2552"/>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8">
        <f>SUM(D19:D26)</f>
        <v>0</v>
      </c>
      <c r="E27" s="1069">
        <f>IF(SUM(E19:E26)='数据-基础表'!BA5,SUM(E19:E26),IF(F27="地上面积有误","面积有误","地下面积有误"))</f>
        <v>154.79</v>
      </c>
      <c r="F27" s="1068">
        <f>IF(SUM(F19:F26)=E8,SUM(F19:F26),"地上面积有误")</f>
        <v>154.79</v>
      </c>
      <c r="G27" s="1070">
        <f>SUM(G19:G26)</f>
        <v>0</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154.79</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8">
        <f>SUM(D28:D29)</f>
        <v>0</v>
      </c>
      <c r="E30" s="1068">
        <f>SUM(E28:E29)</f>
        <v>0</v>
      </c>
      <c r="F30" s="1068">
        <f>SUM(F28:F29)</f>
        <v>0</v>
      </c>
      <c r="G30" s="1070">
        <f>SUM(G28:G29)</f>
        <v>0</v>
      </c>
      <c r="H30" s="2431"/>
      <c r="I30" s="2431"/>
      <c r="J30" s="2431"/>
      <c r="K30" s="2431"/>
      <c r="L30" s="2431"/>
      <c r="M30" s="2431"/>
      <c r="N30" s="2431"/>
      <c r="O30" s="2431"/>
      <c r="P30" s="2431"/>
    </row>
    <row r="31" spans="1:19" ht="15.75" thickBot="1">
      <c r="A31" s="1553"/>
      <c r="B31" s="96"/>
      <c r="C31" s="781" t="s">
        <v>1158</v>
      </c>
      <c r="D31" s="643">
        <f>D27+D30</f>
        <v>0</v>
      </c>
      <c r="E31" s="643">
        <f>E27+E30</f>
        <v>154.79</v>
      </c>
      <c r="F31" s="644">
        <f>F27+F30</f>
        <v>154.79</v>
      </c>
      <c r="G31" s="645">
        <f>G27+G30</f>
        <v>0</v>
      </c>
      <c r="H31" s="2431"/>
      <c r="I31" s="2431"/>
      <c r="J31" s="2431"/>
      <c r="K31" s="2431"/>
      <c r="L31" s="2431"/>
      <c r="M31" s="2431"/>
      <c r="N31" s="2431"/>
      <c r="O31" s="2431"/>
      <c r="P31" s="2431"/>
    </row>
    <row r="32" spans="1:19">
      <c r="A32" s="1522"/>
      <c r="B32" s="1522" t="s">
        <v>1159</v>
      </c>
      <c r="C32" s="1522"/>
      <c r="D32" s="1522"/>
      <c r="E32" s="986">
        <f>SUMIF(C19:C26,"*住宅*",E19:E26)</f>
        <v>154.79</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3" width="7.25" style="1557" customWidth="1"/>
    <col min="34" max="34" width="11.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75" thickBot="1">
      <c r="A2" s="1558" t="s">
        <v>1161</v>
      </c>
      <c r="B2" s="980">
        <f>项目基本情况!D3</f>
        <v>45940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0.5">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3432</v>
      </c>
      <c r="O5" s="1573" t="s">
        <v>1181</v>
      </c>
      <c r="P5" s="1576" t="s">
        <v>1182</v>
      </c>
      <c r="Q5" s="58" t="s">
        <v>1183</v>
      </c>
      <c r="R5" s="1577" t="s">
        <v>1184</v>
      </c>
      <c r="S5" s="1578" t="s">
        <v>1185</v>
      </c>
      <c r="T5" s="1579" t="s">
        <v>1186</v>
      </c>
      <c r="U5" s="981" t="s">
        <v>1187</v>
      </c>
      <c r="V5" s="504" t="s">
        <v>1188</v>
      </c>
      <c r="W5" s="504" t="s">
        <v>1189</v>
      </c>
      <c r="X5" s="60"/>
      <c r="Y5" s="59" t="s">
        <v>1190</v>
      </c>
      <c r="Z5" s="1097" t="s">
        <v>1187</v>
      </c>
      <c r="AA5" s="504" t="s">
        <v>1188</v>
      </c>
      <c r="AB5" s="504" t="s">
        <v>1189</v>
      </c>
      <c r="AC5" s="60"/>
      <c r="AD5" s="60" t="s">
        <v>1190</v>
      </c>
      <c r="AE5" s="981" t="s">
        <v>1191</v>
      </c>
      <c r="AF5" s="504" t="s">
        <v>1192</v>
      </c>
      <c r="AG5" s="59" t="s">
        <v>1193</v>
      </c>
      <c r="AH5" s="981" t="s">
        <v>1194</v>
      </c>
      <c r="AI5" s="1097" t="s">
        <v>1195</v>
      </c>
      <c r="AJ5" s="1097" t="s">
        <v>1196</v>
      </c>
      <c r="AK5" s="504" t="s">
        <v>1197</v>
      </c>
      <c r="AL5" s="504" t="s">
        <v>1198</v>
      </c>
      <c r="AM5" s="59" t="s">
        <v>1199</v>
      </c>
      <c r="AN5" s="1580" t="s">
        <v>1200</v>
      </c>
      <c r="AO5" s="1450" t="s">
        <v>1201</v>
      </c>
      <c r="AP5" s="964"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住宅</v>
      </c>
      <c r="B6" s="1583" t="str">
        <f>IF(A6=0,"","经营性")</f>
        <v>经营性</v>
      </c>
      <c r="C6" s="1584" t="s">
        <v>3401</v>
      </c>
      <c r="D6" s="801">
        <f>SUMIF(项目基本情况!C$12:I$12,C6,项目基本情况!C$14:I$14)</f>
        <v>70</v>
      </c>
      <c r="E6" s="800">
        <f>IF(B6="","",SUMIF(项目基本情况!C$12:I$12,C6,项目基本情况!C$13:I$13))</f>
        <v>71506</v>
      </c>
      <c r="F6" s="61">
        <f>SUMIF(项目基本情况!C$12:I$12,C6,项目基本情况!C$15:I$15)</f>
        <v>70</v>
      </c>
      <c r="G6" s="62">
        <f>IF(ISERROR(ROUND(POWER(1+H6,D6-F6)*(POWER(1+H6,F6)-1)/(POWER(1+H6,D6)-1),3)),0,ROUND(POWER(1+H6,D6-F6)*(POWER(1+H6,F6)-1)/(POWER(1+H6,D6)-1),3))</f>
        <v>1</v>
      </c>
      <c r="H6" s="691">
        <v>0.01</v>
      </c>
      <c r="I6" s="691">
        <v>2.5000000000000001E-2</v>
      </c>
      <c r="J6" s="63">
        <v>0.05</v>
      </c>
      <c r="K6" s="966">
        <f>SUMIF('数据-汇总表'!C$19:C$33,A6,'数据-汇总表'!E$19:E$33)</f>
        <v>154.79</v>
      </c>
      <c r="L6" s="692">
        <v>1500</v>
      </c>
      <c r="M6" s="64">
        <f t="shared" ref="M6:M14" si="0">ROUND(K6*L6/10000,0)</f>
        <v>23</v>
      </c>
      <c r="N6" s="690">
        <f>N22</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88">
        <f>ROUND($L$14*S6/10000,0)</f>
        <v>0</v>
      </c>
      <c r="U6" s="3168">
        <v>1800</v>
      </c>
      <c r="V6" s="67">
        <v>0.01</v>
      </c>
      <c r="W6" s="67">
        <v>0.1</v>
      </c>
      <c r="X6" s="975"/>
      <c r="Y6" s="68">
        <f>N6</f>
        <v>0.75</v>
      </c>
      <c r="Z6" s="69"/>
      <c r="AA6" s="63"/>
      <c r="AB6" s="63"/>
      <c r="AC6" s="975"/>
      <c r="AD6" s="70"/>
      <c r="AE6" s="976">
        <f ca="1">IF(AN6="",0,SUMIF(INDIRECT("'"&amp;AN6&amp;"'"&amp;"!E:E"),$AE$5,INDIRECT("'"&amp;AN6&amp;"'"&amp;"!F:F")))</f>
        <v>70</v>
      </c>
      <c r="AF6" s="74"/>
      <c r="AG6" s="130">
        <f>IF(AF6="",0,AE6-AF6)</f>
        <v>0</v>
      </c>
      <c r="AH6" s="71">
        <v>1</v>
      </c>
      <c r="AI6" s="73">
        <v>12</v>
      </c>
      <c r="AJ6" s="74"/>
      <c r="AK6" s="75">
        <v>2E-3</v>
      </c>
      <c r="AL6" s="76">
        <v>1E-3</v>
      </c>
      <c r="AM6" s="77">
        <v>0.01</v>
      </c>
      <c r="AN6" s="1585" t="s">
        <v>3461</v>
      </c>
      <c r="AO6" s="50">
        <f ca="1">SUMIF(INDIRECT("'"&amp;AN6&amp;"'"&amp;"!A:A"),"总价",INDIRECT("'"&amp;AN6&amp;"'"&amp;"!B:B"))</f>
        <v>64.686800000000005</v>
      </c>
      <c r="AP6" s="1586">
        <f>IF(C6="住宅",K6*L6,0)</f>
        <v>232185</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3"/>
      <c r="I7" s="63"/>
      <c r="J7" s="63"/>
      <c r="K7" s="966">
        <f>SUMIF('数据-汇总表'!C$19:C$33,A7,'数据-汇总表'!E$19:E$33)</f>
        <v>0</v>
      </c>
      <c r="L7" s="690"/>
      <c r="M7" s="64">
        <f t="shared" si="0"/>
        <v>0</v>
      </c>
      <c r="N7" s="69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18"/>
      <c r="V7" s="63"/>
      <c r="W7" s="63"/>
      <c r="X7" s="975"/>
      <c r="Y7" s="3118"/>
      <c r="Z7" s="63"/>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5"/>
      <c r="AO7" s="50" t="e">
        <f t="shared" ref="AO7:AO13" ca="1" si="8">SUMIF(INDIRECT("'"&amp;AN7&amp;"'"&amp;"!A:A"),"总价",INDIRECT("'"&amp;AN7&amp;"'"&amp;"!B:B"))</f>
        <v>#REF!</v>
      </c>
      <c r="AP7" s="1586">
        <f t="shared" ref="AP7:AP12"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1">
        <f>SUMIF(项目基本情况!C$12:I$12,C8,项目基本情况!C$14:I$14)</f>
        <v>0</v>
      </c>
      <c r="E8" s="800" t="str">
        <f>IF(B8="","",SUMIF(项目基本情况!C$12:I$12,C8,项目基本情况!C$13:I$13))</f>
        <v/>
      </c>
      <c r="F8" s="61">
        <f>SUMIF(项目基本情况!C$12:I$12,C8,项目基本情况!C$15:I$15)</f>
        <v>0</v>
      </c>
      <c r="G8" s="62">
        <f t="shared" si="2"/>
        <v>0</v>
      </c>
      <c r="H8" s="63"/>
      <c r="I8" s="63"/>
      <c r="J8" s="63"/>
      <c r="K8" s="966">
        <f>SUMIF('数据-汇总表'!C$19:C$33,A8,'数据-汇总表'!E$19:E$33)</f>
        <v>0</v>
      </c>
      <c r="L8" s="690"/>
      <c r="M8" s="64">
        <f>ROUND(K8*L8/10000,0)</f>
        <v>0</v>
      </c>
      <c r="N8" s="69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88">
        <f t="shared" si="5"/>
        <v>0</v>
      </c>
      <c r="U8" s="3118"/>
      <c r="V8" s="63"/>
      <c r="W8" s="63"/>
      <c r="X8" s="975"/>
      <c r="Y8" s="3118"/>
      <c r="Z8" s="63"/>
      <c r="AA8" s="63"/>
      <c r="AB8" s="63"/>
      <c r="AC8" s="975"/>
      <c r="AD8" s="70"/>
      <c r="AE8" s="976">
        <f t="shared" ca="1" si="6"/>
        <v>0</v>
      </c>
      <c r="AF8" s="74"/>
      <c r="AG8" s="130">
        <f t="shared" si="7"/>
        <v>0</v>
      </c>
      <c r="AH8" s="71"/>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79"/>
      <c r="M9" s="64">
        <f>ROUND(K9*L9/10000,0)</f>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18"/>
      <c r="V9" s="63"/>
      <c r="W9" s="63"/>
      <c r="X9" s="975"/>
      <c r="Y9" s="3118"/>
      <c r="Z9" s="63"/>
      <c r="AA9" s="63"/>
      <c r="AB9" s="63"/>
      <c r="AC9" s="975"/>
      <c r="AD9" s="70"/>
      <c r="AE9" s="976">
        <f t="shared" ca="1" si="6"/>
        <v>0</v>
      </c>
      <c r="AF9" s="74"/>
      <c r="AG9" s="130">
        <f t="shared" si="7"/>
        <v>0</v>
      </c>
      <c r="AH9" s="71"/>
      <c r="AI9" s="73"/>
      <c r="AJ9" s="74"/>
      <c r="AK9" s="75"/>
      <c r="AL9" s="76"/>
      <c r="AM9" s="77"/>
      <c r="AN9" s="1585"/>
      <c r="AO9" s="50" t="e">
        <f t="shared" ca="1" si="8"/>
        <v>#REF!</v>
      </c>
      <c r="AP9" s="1586">
        <f>IF(C9="住宅",K9*#REF!,0)</f>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0"/>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3"/>
      <c r="W10" s="63"/>
      <c r="X10" s="975"/>
      <c r="Y10" s="3118"/>
      <c r="Z10" s="63"/>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690"/>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5"/>
      <c r="Y11" s="3118"/>
      <c r="Z11" s="63"/>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M13" s="64">
        <f>ROUND(K13*L9/10000,0)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IF(C13="住宅",K13*L9,0)</f>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1"/>
      <c r="E14" s="800"/>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79"/>
      <c r="D16" s="1590"/>
      <c r="E16" s="82"/>
      <c r="F16" s="82"/>
      <c r="G16" s="83">
        <f>ROUND(SUMPRODUCT(G6:G13,K6:K13)/SUMPRODUCT((G6:G13&gt;0)*(K6:K13)),3)</f>
        <v>1</v>
      </c>
      <c r="H16" s="84">
        <f>ROUND(SUMPRODUCT(H6:H13,K6:K13)/SUMPRODUCT((H6:H13&gt;0)*(K6:K13)),3)</f>
        <v>0.01</v>
      </c>
      <c r="I16" s="85"/>
      <c r="J16" s="85"/>
      <c r="K16" s="86">
        <f>SUM(K6:K15)</f>
        <v>154.79</v>
      </c>
      <c r="L16" s="87">
        <f>ROUND(M16*10000/SUM(K6:K14),0)</f>
        <v>1486</v>
      </c>
      <c r="M16" s="87">
        <f>SUM(M6:M14)</f>
        <v>23</v>
      </c>
      <c r="N16" s="88">
        <f>ROUND(SUMPRODUCT(M6:M14,N6:N14)/M16,3)</f>
        <v>0.75</v>
      </c>
      <c r="O16" s="87">
        <f>SUM(O6:O14)</f>
        <v>0</v>
      </c>
      <c r="P16" s="87">
        <f>SUM(P6:P14)</f>
        <v>0</v>
      </c>
      <c r="Q16" s="89">
        <f>ROUND(SUMPRODUCT(Q6:Q13,K6:K13)/SUMPRODUCT((Q6:Q13&gt;0)*(K6:K13)),2)</f>
        <v>0.1</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3164" t="s">
        <v>3439</v>
      </c>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2298</v>
      </c>
      <c r="D19" s="2444"/>
      <c r="E19" s="2431"/>
      <c r="F19" s="2431"/>
      <c r="G19" s="2431"/>
      <c r="H19" s="2431"/>
      <c r="I19" s="2431"/>
      <c r="J19" s="2431"/>
      <c r="K19" s="2442"/>
      <c r="L19" s="2442"/>
      <c r="M19" s="2441"/>
      <c r="N19" s="2441">
        <v>2007</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v>
      </c>
      <c r="C20" s="2554" t="s">
        <v>2296</v>
      </c>
      <c r="D20" s="2444"/>
      <c r="E20" s="2431"/>
      <c r="F20" s="2431"/>
      <c r="G20" s="2431"/>
      <c r="H20" s="2431"/>
      <c r="I20" s="2431"/>
      <c r="J20" s="2431"/>
      <c r="K20" s="2442"/>
      <c r="L20" s="2442"/>
      <c r="M20" s="2441"/>
      <c r="N20" s="3167">
        <f>ROUND(1-((2025-N19)*0.98/50),2)</f>
        <v>0.65</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f>B20</f>
        <v>2</v>
      </c>
      <c r="C21" s="2431"/>
      <c r="D21" s="2444"/>
      <c r="E21" s="2431"/>
      <c r="F21" s="2431"/>
      <c r="G21" s="2431"/>
      <c r="H21" s="2431"/>
      <c r="I21" s="2431"/>
      <c r="J21" s="2431"/>
      <c r="K21" s="2442"/>
      <c r="L21" s="2442"/>
      <c r="M21" s="2441"/>
      <c r="N21" s="3166">
        <v>0.85</v>
      </c>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8">
      <c r="A22" s="1593" t="s">
        <v>1214</v>
      </c>
      <c r="B22" s="99">
        <f>B19+B20</f>
        <v>2</v>
      </c>
      <c r="C22" s="2431"/>
      <c r="D22" s="2444"/>
      <c r="E22" s="2431"/>
      <c r="F22" s="2431"/>
      <c r="G22" s="2431"/>
      <c r="H22" s="2431"/>
      <c r="I22" s="2431"/>
      <c r="J22" s="2431"/>
      <c r="K22" s="2442"/>
      <c r="L22" s="2442"/>
      <c r="M22" s="2441"/>
      <c r="N22" s="3166">
        <f>ROUND(AVERAGE(N20:N21),2)</f>
        <v>0.75</v>
      </c>
      <c r="O22" s="2441"/>
      <c r="P22" s="2441"/>
      <c r="Q22" s="2441"/>
      <c r="R22" s="3170" t="s">
        <v>3463</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3169" t="s">
        <v>1220</v>
      </c>
      <c r="B27" s="101">
        <v>170</v>
      </c>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2290</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8">
        <v>120</v>
      </c>
      <c r="C30" s="2448">
        <f>180/2.5</f>
        <v>72</v>
      </c>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120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9">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640">
        <v>0.03</v>
      </c>
      <c r="C33" s="2557" t="s">
        <v>3378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106">
        <v>0.05</v>
      </c>
      <c r="C34" s="2557" t="s">
        <v>2291</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B30</f>
        <v>120</v>
      </c>
      <c r="C35" s="2557" t="s">
        <v>2292</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1.4999999999999999E-2</v>
      </c>
      <c r="C36" s="2557" t="s">
        <v>3396</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108">
        <v>0.02</v>
      </c>
      <c r="C37" s="2557" t="s">
        <v>3379</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106">
        <v>0.02</v>
      </c>
      <c r="C38" s="2557" t="s">
        <v>3380</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2306</v>
      </c>
      <c r="B40" s="1011">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9">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11">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2">
        <v>7.0000000000000007E-2</v>
      </c>
      <c r="C44" s="2557" t="s">
        <v>3381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10">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10">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4">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7">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7" customWidth="1"/>
    <col min="19" max="29" width="9" style="747"/>
    <col min="30" max="16384" width="9" style="1518"/>
  </cols>
  <sheetData>
    <row r="1" spans="1:29" s="2253" customFormat="1" ht="18.75" thickBot="1">
      <c r="A1" s="3272" t="s">
        <v>2282</v>
      </c>
      <c r="B1" s="3273"/>
      <c r="C1" s="3273"/>
      <c r="D1" s="3273"/>
      <c r="E1" s="3273"/>
      <c r="F1" s="3273"/>
      <c r="G1" s="327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2278</v>
      </c>
      <c r="D2" s="1591"/>
      <c r="E2" s="2254"/>
      <c r="F2" s="2257"/>
      <c r="G2" s="2256" t="s">
        <v>2279</v>
      </c>
      <c r="H2" s="747"/>
      <c r="I2" s="747"/>
      <c r="J2" s="747"/>
      <c r="K2" s="747"/>
      <c r="L2" s="747"/>
      <c r="M2" s="747"/>
      <c r="N2" s="747"/>
      <c r="O2" s="747"/>
      <c r="P2" s="747"/>
      <c r="Q2" s="747"/>
    </row>
    <row r="3" spans="1:29" ht="36">
      <c r="A3" s="2241" t="s">
        <v>2280</v>
      </c>
      <c r="B3" s="2258" t="s">
        <v>2252</v>
      </c>
      <c r="C3" s="3171" t="s">
        <v>3468</v>
      </c>
      <c r="D3" s="2259"/>
      <c r="E3" s="2242" t="s">
        <v>2280</v>
      </c>
      <c r="F3" s="2260" t="s">
        <v>2253</v>
      </c>
      <c r="G3" s="2261" t="s">
        <v>2281</v>
      </c>
      <c r="H3" s="747"/>
      <c r="I3" s="747"/>
      <c r="J3" s="747"/>
      <c r="K3" s="747"/>
      <c r="L3" s="747"/>
      <c r="M3" s="747"/>
      <c r="N3" s="747"/>
      <c r="O3" s="747"/>
      <c r="P3" s="747"/>
      <c r="Q3" s="747"/>
    </row>
    <row r="4" spans="1:29" ht="48">
      <c r="A4" s="2242"/>
      <c r="B4" s="315" t="s">
        <v>2254</v>
      </c>
      <c r="C4" s="3160" t="s">
        <v>3421</v>
      </c>
      <c r="D4" s="2259"/>
      <c r="E4" s="2262"/>
      <c r="F4" s="1277" t="s">
        <v>2255</v>
      </c>
      <c r="G4" s="2263" t="s">
        <v>2256</v>
      </c>
      <c r="H4" s="747"/>
      <c r="I4" s="747"/>
      <c r="J4" s="747"/>
      <c r="K4" s="747"/>
      <c r="L4" s="747"/>
      <c r="M4" s="747"/>
      <c r="N4" s="747"/>
      <c r="O4" s="747"/>
      <c r="P4" s="747"/>
      <c r="Q4" s="747"/>
    </row>
    <row r="5" spans="1:29" ht="48">
      <c r="A5" s="2242"/>
      <c r="B5" s="315" t="s">
        <v>2257</v>
      </c>
      <c r="C5" s="3160" t="s">
        <v>3422</v>
      </c>
      <c r="D5" s="2259"/>
      <c r="E5" s="2262"/>
      <c r="F5" s="315" t="s">
        <v>2258</v>
      </c>
      <c r="G5" s="2263" t="s">
        <v>2259</v>
      </c>
      <c r="H5" s="747"/>
      <c r="I5" s="747"/>
      <c r="J5" s="747"/>
      <c r="K5" s="747"/>
      <c r="L5" s="747"/>
      <c r="M5" s="747"/>
      <c r="N5" s="747"/>
      <c r="O5" s="747"/>
      <c r="P5" s="747"/>
      <c r="Q5" s="747"/>
    </row>
    <row r="6" spans="1:29" ht="36">
      <c r="A6" s="2242"/>
      <c r="B6" s="315" t="s">
        <v>2260</v>
      </c>
      <c r="C6" s="3161" t="s">
        <v>3465</v>
      </c>
      <c r="D6" s="2259"/>
      <c r="E6" s="2262"/>
      <c r="F6" s="315" t="s">
        <v>2261</v>
      </c>
      <c r="G6" s="2263" t="s">
        <v>2262</v>
      </c>
      <c r="H6" s="747"/>
      <c r="I6" s="747"/>
      <c r="J6" s="747"/>
      <c r="K6" s="747"/>
      <c r="L6" s="747"/>
      <c r="M6" s="747"/>
      <c r="N6" s="747"/>
      <c r="O6" s="747"/>
      <c r="P6" s="747"/>
      <c r="Q6" s="747"/>
    </row>
    <row r="7" spans="1:29" ht="156.75" thickBot="1">
      <c r="A7" s="2242"/>
      <c r="B7" s="315" t="s">
        <v>2258</v>
      </c>
      <c r="C7" s="3161" t="s">
        <v>3467</v>
      </c>
      <c r="D7" s="2239"/>
      <c r="E7" s="2264"/>
      <c r="F7" s="2265" t="s">
        <v>2263</v>
      </c>
      <c r="G7" s="2266" t="s">
        <v>2264</v>
      </c>
      <c r="H7" s="747"/>
      <c r="I7" s="747"/>
      <c r="J7" s="747"/>
      <c r="K7" s="747"/>
      <c r="L7" s="747"/>
      <c r="M7" s="747"/>
      <c r="N7" s="747"/>
      <c r="O7" s="747"/>
      <c r="P7" s="747"/>
      <c r="Q7" s="747"/>
    </row>
    <row r="8" spans="1:29">
      <c r="A8" s="2242"/>
      <c r="B8" s="315" t="s">
        <v>2261</v>
      </c>
      <c r="C8" s="2263" t="s">
        <v>2262</v>
      </c>
      <c r="D8" s="2239"/>
      <c r="E8" s="2239"/>
      <c r="F8" s="121"/>
      <c r="G8" s="121"/>
      <c r="H8" s="747"/>
      <c r="I8" s="747"/>
      <c r="J8" s="747"/>
      <c r="K8" s="747"/>
      <c r="L8" s="747"/>
      <c r="M8" s="747"/>
      <c r="N8" s="747"/>
      <c r="O8" s="747"/>
      <c r="P8" s="747"/>
      <c r="Q8" s="747"/>
    </row>
    <row r="9" spans="1:29" ht="48">
      <c r="A9" s="2242"/>
      <c r="B9" s="315" t="s">
        <v>2265</v>
      </c>
      <c r="C9" s="3160" t="s">
        <v>3466</v>
      </c>
      <c r="D9" s="2259"/>
      <c r="E9" s="2239"/>
      <c r="F9" s="121"/>
      <c r="G9" s="121"/>
      <c r="H9" s="747"/>
      <c r="I9" s="747"/>
      <c r="J9" s="747"/>
      <c r="K9" s="747"/>
      <c r="L9" s="747"/>
      <c r="M9" s="747"/>
      <c r="N9" s="747"/>
      <c r="O9" s="747"/>
      <c r="P9" s="747"/>
      <c r="Q9" s="747"/>
    </row>
    <row r="10" spans="1:29" ht="15" thickBot="1">
      <c r="A10" s="2243"/>
      <c r="B10" s="2267" t="s">
        <v>2266</v>
      </c>
      <c r="C10" s="2268"/>
      <c r="D10" s="2259"/>
      <c r="E10" s="2259"/>
      <c r="F10" s="121"/>
      <c r="G10" s="121"/>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2283</v>
      </c>
      <c r="B13" s="2272"/>
      <c r="C13" s="2272"/>
      <c r="D13" s="2271"/>
      <c r="E13" s="2272"/>
      <c r="F13" s="2272"/>
      <c r="G13" s="2272"/>
    </row>
    <row r="14" spans="1:29" ht="15" thickBot="1">
      <c r="A14" s="2277"/>
      <c r="B14" s="2277"/>
      <c r="C14" s="2278" t="s">
        <v>2267</v>
      </c>
      <c r="D14" s="2259"/>
      <c r="E14" s="2279"/>
      <c r="F14" s="2279"/>
      <c r="G14" s="2256" t="s">
        <v>2268</v>
      </c>
    </row>
    <row r="15" spans="1:29" ht="38.25">
      <c r="A15" s="2244" t="s">
        <v>2269</v>
      </c>
      <c r="B15" s="2280" t="s">
        <v>2252</v>
      </c>
      <c r="C15" s="2281" t="str">
        <f>C3</f>
        <v>周边有阳光嘉苑、瑞祥花园、园田花园、四月天等住宅小区，居住社区成熟度较好。</v>
      </c>
      <c r="D15" s="2259"/>
      <c r="E15" s="2245" t="s">
        <v>2270</v>
      </c>
      <c r="F15" s="2280" t="s">
        <v>2271</v>
      </c>
      <c r="G15" s="2282" t="str">
        <f>G3</f>
        <v>估价对象位于XX开发区，园区建设成熟度XX，产业集聚程度XX</v>
      </c>
    </row>
    <row r="16" spans="1:29" ht="51">
      <c r="A16" s="2246"/>
      <c r="B16" s="2283" t="s">
        <v>2254</v>
      </c>
      <c r="C16" s="2284" t="str">
        <f>C4</f>
        <v>估价对象位于北京城市副中心商务中心区，周边商业氛围较成熟，人流量较大，商业繁华度较好</v>
      </c>
      <c r="D16" s="2259"/>
      <c r="E16" s="2247"/>
      <c r="F16" s="2285" t="s">
        <v>2255</v>
      </c>
      <c r="G16" s="2286" t="str">
        <f>G4</f>
        <v>估价对象周边道路状况、公共交通通达情况、停车便捷程度，综合评价交通便捷度较好</v>
      </c>
    </row>
    <row r="17" spans="1:17" ht="51">
      <c r="A17" s="2246"/>
      <c r="B17" s="2283" t="s">
        <v>2257</v>
      </c>
      <c r="C17" s="2284" t="str">
        <f>C5</f>
        <v>估价对象位于北京城市副中心商务中心区，周边办公楼项目较多，入驻率较高，办公集聚程度较好</v>
      </c>
      <c r="D17" s="2239"/>
      <c r="E17" s="2247"/>
      <c r="F17" s="2285" t="s">
        <v>2272</v>
      </c>
      <c r="G17" s="2287"/>
    </row>
    <row r="18" spans="1:17" ht="38.25">
      <c r="A18" s="2246"/>
      <c r="B18" s="2285" t="s">
        <v>2260</v>
      </c>
      <c r="C18" s="2286" t="str">
        <f>C6</f>
        <v>估价对象周边有196路、B38路、Y25路等多条公交线路，综合评价交通便捷度一般</v>
      </c>
      <c r="D18" s="2239"/>
      <c r="E18" s="2247"/>
      <c r="F18" s="2285" t="s">
        <v>2263</v>
      </c>
      <c r="G18" s="2286" t="str">
        <f>G7</f>
        <v>该园区内是否有污染型企业，绿化情况，卫生条件，整体环境状况判断</v>
      </c>
    </row>
    <row r="19" spans="1:17" ht="25.5">
      <c r="A19" s="2246"/>
      <c r="B19" s="2285" t="s">
        <v>2273</v>
      </c>
      <c r="C19" s="2287"/>
      <c r="D19" s="2259"/>
      <c r="E19" s="2247"/>
      <c r="F19" s="315" t="s">
        <v>2258</v>
      </c>
      <c r="G19" s="2286" t="str">
        <f>G5</f>
        <v>估价对象所在区域公共配套设施齐备情况</v>
      </c>
    </row>
    <row r="20" spans="1:17" ht="51">
      <c r="A20" s="2246"/>
      <c r="B20" s="2285" t="s">
        <v>2274</v>
      </c>
      <c r="C20" s="2284" t="str">
        <f>C9</f>
        <v>估价对象周边有河南省体育场馆中心、郑州海洋馆等人文景观，东风渠水系等自然景观，综合评价环境状况较好。</v>
      </c>
      <c r="D20" s="2239"/>
      <c r="E20" s="2247"/>
      <c r="F20" s="315" t="s">
        <v>2261</v>
      </c>
      <c r="G20" s="2286" t="str">
        <f>G6</f>
        <v>估价对象所在区域基础设施水平</v>
      </c>
    </row>
    <row r="21" spans="1:17" ht="165.75">
      <c r="A21" s="2246"/>
      <c r="B21" s="315" t="s">
        <v>2258</v>
      </c>
      <c r="C21" s="2286" t="str">
        <f>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1" s="2259"/>
      <c r="E21" s="2247"/>
      <c r="F21" s="2285" t="s">
        <v>2275</v>
      </c>
      <c r="G21" s="2288"/>
    </row>
    <row r="22" spans="1:17" ht="13.5" customHeight="1">
      <c r="A22" s="2246"/>
      <c r="B22" s="315" t="s">
        <v>2261</v>
      </c>
      <c r="C22" s="2286" t="str">
        <f>C8</f>
        <v>估价对象所在区域基础设施水平</v>
      </c>
      <c r="D22" s="2259"/>
      <c r="E22" s="2247"/>
      <c r="F22" s="2285" t="s">
        <v>2266</v>
      </c>
      <c r="G22" s="2287"/>
    </row>
    <row r="23" spans="1:17" s="747" customFormat="1" ht="15" thickBot="1">
      <c r="A23" s="2246"/>
      <c r="B23" s="2285" t="s">
        <v>2275</v>
      </c>
      <c r="C23" s="2288"/>
      <c r="D23" s="1610"/>
      <c r="E23" s="2248"/>
      <c r="F23" s="2289" t="s">
        <v>2276</v>
      </c>
      <c r="G23" s="2290"/>
      <c r="H23" s="2269"/>
      <c r="I23" s="2269"/>
      <c r="J23" s="2269"/>
      <c r="K23" s="2269"/>
      <c r="L23" s="2269"/>
      <c r="M23" s="2269"/>
      <c r="N23" s="2269"/>
      <c r="O23" s="2269"/>
      <c r="P23" s="2269"/>
      <c r="Q23" s="2269"/>
    </row>
    <row r="24" spans="1:17" s="747" customFormat="1" ht="15" thickBot="1">
      <c r="A24" s="2249"/>
      <c r="B24" s="2289" t="s">
        <v>2277</v>
      </c>
      <c r="C24" s="2291">
        <f>C10</f>
        <v>0</v>
      </c>
      <c r="D24" s="1610"/>
      <c r="E24" s="2239"/>
      <c r="F24" s="2239"/>
      <c r="G24" s="2239"/>
      <c r="H24" s="2269"/>
      <c r="I24" s="2269"/>
      <c r="J24" s="2269"/>
      <c r="K24" s="2269"/>
      <c r="L24" s="2269"/>
      <c r="M24" s="2269"/>
      <c r="N24" s="2269"/>
      <c r="O24" s="2269"/>
      <c r="P24" s="2269"/>
      <c r="Q24" s="2269"/>
    </row>
    <row r="25" spans="1:17" s="747" customFormat="1">
      <c r="B25" s="2269"/>
      <c r="C25" s="2269"/>
      <c r="D25" s="2269"/>
      <c r="H25" s="2269"/>
      <c r="I25" s="2269"/>
      <c r="J25" s="2269"/>
      <c r="K25" s="2269"/>
      <c r="L25" s="2269"/>
      <c r="M25" s="2269"/>
      <c r="N25" s="2269"/>
      <c r="O25" s="2269"/>
      <c r="P25" s="2269"/>
      <c r="Q25" s="2269"/>
    </row>
    <row r="26" spans="1:17" s="747" customFormat="1">
      <c r="B26" s="2269"/>
      <c r="C26" s="2269"/>
      <c r="D26" s="2269"/>
      <c r="H26" s="2269"/>
      <c r="I26" s="2269"/>
      <c r="J26" s="2269"/>
      <c r="K26" s="2269"/>
      <c r="L26" s="2269"/>
      <c r="M26" s="2269"/>
      <c r="N26" s="2269"/>
      <c r="O26" s="2269"/>
      <c r="P26" s="2269"/>
      <c r="Q26" s="2269"/>
    </row>
    <row r="27" spans="1:17" s="747" customFormat="1">
      <c r="B27" s="2269"/>
      <c r="C27" s="2269"/>
      <c r="D27" s="2269"/>
      <c r="H27" s="2269"/>
      <c r="I27" s="2269"/>
      <c r="J27" s="2269"/>
      <c r="K27" s="2269"/>
      <c r="L27" s="2269"/>
      <c r="M27" s="2269"/>
      <c r="N27" s="2269"/>
      <c r="O27" s="2269"/>
      <c r="P27" s="2269"/>
      <c r="Q27" s="2269"/>
    </row>
    <row r="28" spans="1:17" s="747" customFormat="1">
      <c r="B28" s="2269"/>
      <c r="C28" s="2269"/>
      <c r="D28" s="2269"/>
      <c r="H28" s="2269"/>
      <c r="I28" s="2269"/>
      <c r="J28" s="2269"/>
      <c r="K28" s="2269"/>
      <c r="L28" s="2269"/>
      <c r="M28" s="2269"/>
      <c r="N28" s="2269"/>
      <c r="O28" s="2269"/>
      <c r="P28" s="2269"/>
      <c r="Q28" s="2269"/>
    </row>
    <row r="29" spans="1:17" s="747" customFormat="1">
      <c r="B29" s="2269"/>
      <c r="C29" s="2269"/>
      <c r="D29" s="2269"/>
      <c r="H29" s="2269"/>
      <c r="I29" s="2269"/>
      <c r="J29" s="2269"/>
      <c r="K29" s="2269"/>
      <c r="L29" s="2269"/>
      <c r="M29" s="2269"/>
      <c r="N29" s="2269"/>
      <c r="O29" s="2269"/>
      <c r="P29" s="2269"/>
      <c r="Q29" s="2269"/>
    </row>
    <row r="30" spans="1:17" s="747" customFormat="1">
      <c r="B30" s="2269"/>
      <c r="C30" s="2269"/>
      <c r="D30" s="2269"/>
      <c r="H30" s="2269"/>
      <c r="I30" s="2269"/>
      <c r="J30" s="2269"/>
      <c r="K30" s="2269"/>
      <c r="L30" s="2269"/>
      <c r="M30" s="2269"/>
      <c r="N30" s="2269"/>
      <c r="O30" s="2269"/>
      <c r="P30" s="2269"/>
      <c r="Q30" s="2269"/>
    </row>
    <row r="31" spans="1:17" s="747" customFormat="1">
      <c r="B31" s="2269"/>
      <c r="C31" s="2269"/>
      <c r="D31" s="2269"/>
      <c r="H31" s="2269"/>
      <c r="I31" s="2269"/>
      <c r="J31" s="2269"/>
      <c r="K31" s="2269"/>
      <c r="L31" s="2269"/>
      <c r="M31" s="2269"/>
      <c r="N31" s="2269"/>
      <c r="O31" s="2269"/>
      <c r="P31" s="2269"/>
      <c r="Q31" s="2269"/>
    </row>
    <row r="32" spans="1:17" s="747" customFormat="1">
      <c r="B32" s="2269"/>
      <c r="C32" s="2269"/>
      <c r="D32" s="2269"/>
      <c r="H32" s="2269"/>
      <c r="I32" s="2269"/>
      <c r="J32" s="2269"/>
      <c r="K32" s="2269"/>
      <c r="L32" s="2269"/>
      <c r="M32" s="2269"/>
      <c r="N32" s="2269"/>
      <c r="O32" s="2269"/>
      <c r="P32" s="2269"/>
      <c r="Q32" s="2269"/>
    </row>
    <row r="33" spans="2:17" s="747" customFormat="1">
      <c r="B33" s="2269"/>
      <c r="C33" s="2269"/>
      <c r="D33" s="2269"/>
      <c r="H33" s="2269"/>
      <c r="I33" s="2269"/>
      <c r="J33" s="2269"/>
      <c r="K33" s="2269"/>
      <c r="L33" s="2269"/>
      <c r="M33" s="2269"/>
      <c r="N33" s="2269"/>
      <c r="O33" s="2269"/>
      <c r="P33" s="2269"/>
      <c r="Q33" s="2269"/>
    </row>
    <row r="34" spans="2:17" s="747" customFormat="1">
      <c r="B34" s="2269"/>
      <c r="C34" s="2269"/>
      <c r="D34" s="2269"/>
      <c r="H34" s="2269"/>
      <c r="I34" s="2269"/>
      <c r="J34" s="2269"/>
      <c r="K34" s="2269"/>
      <c r="L34" s="2269"/>
      <c r="M34" s="2269"/>
      <c r="N34" s="2269"/>
      <c r="O34" s="2269"/>
      <c r="P34" s="2269"/>
      <c r="Q34" s="2269"/>
    </row>
    <row r="35" spans="2:17" s="747" customFormat="1">
      <c r="B35" s="2269"/>
      <c r="C35" s="2269"/>
      <c r="D35" s="2269"/>
      <c r="H35" s="2269"/>
      <c r="I35" s="2269"/>
      <c r="J35" s="2269"/>
      <c r="K35" s="2269"/>
      <c r="L35" s="2269"/>
      <c r="M35" s="2269"/>
      <c r="N35" s="2269"/>
      <c r="O35" s="2269"/>
      <c r="P35" s="2269"/>
      <c r="Q35" s="2269"/>
    </row>
    <row r="36" spans="2:17" s="747" customFormat="1">
      <c r="B36" s="2269"/>
      <c r="C36" s="2269"/>
      <c r="D36" s="2269"/>
      <c r="H36" s="2269"/>
      <c r="I36" s="2269"/>
      <c r="J36" s="2269"/>
      <c r="K36" s="2269"/>
      <c r="L36" s="2269"/>
      <c r="M36" s="2269"/>
      <c r="N36" s="2269"/>
      <c r="O36" s="2269"/>
      <c r="P36" s="2269"/>
      <c r="Q36" s="2269"/>
    </row>
    <row r="37" spans="2:17" s="747" customFormat="1">
      <c r="B37" s="2269"/>
      <c r="C37" s="2269"/>
      <c r="D37" s="2269"/>
      <c r="H37" s="2269"/>
      <c r="I37" s="2269"/>
      <c r="J37" s="2269"/>
      <c r="K37" s="2269"/>
      <c r="L37" s="2269"/>
      <c r="M37" s="2269"/>
      <c r="N37" s="2269"/>
      <c r="O37" s="2269"/>
      <c r="P37" s="2269"/>
      <c r="Q37" s="2269"/>
    </row>
    <row r="38" spans="2:17" s="747" customFormat="1">
      <c r="B38" s="2269"/>
      <c r="C38" s="2269"/>
      <c r="D38" s="2269"/>
      <c r="E38" s="2269"/>
      <c r="F38" s="2269"/>
      <c r="G38" s="2269"/>
      <c r="H38" s="2269"/>
      <c r="I38" s="2269"/>
      <c r="J38" s="2269"/>
      <c r="K38" s="2269"/>
      <c r="L38" s="2269"/>
      <c r="M38" s="2269"/>
      <c r="N38" s="2269"/>
      <c r="O38" s="2269"/>
      <c r="P38" s="2269"/>
      <c r="Q38" s="2269"/>
    </row>
    <row r="39" spans="2:17" s="747" customFormat="1">
      <c r="B39" s="2269"/>
      <c r="C39" s="2269"/>
      <c r="D39" s="2269"/>
      <c r="E39" s="2269"/>
      <c r="F39" s="2269"/>
      <c r="G39" s="2269"/>
      <c r="H39" s="2269"/>
      <c r="I39" s="2269"/>
      <c r="J39" s="2269"/>
      <c r="K39" s="2269"/>
      <c r="L39" s="2269"/>
      <c r="M39" s="2269"/>
      <c r="N39" s="2269"/>
      <c r="O39" s="2269"/>
      <c r="P39" s="2269"/>
      <c r="Q39" s="2269"/>
    </row>
    <row r="40" spans="2:17" s="747" customFormat="1">
      <c r="B40" s="2269"/>
      <c r="C40" s="2269"/>
      <c r="D40" s="2269"/>
      <c r="E40" s="2269"/>
      <c r="F40" s="2269"/>
      <c r="G40" s="2269"/>
      <c r="H40" s="2269"/>
      <c r="I40" s="2269"/>
      <c r="J40" s="2269"/>
      <c r="K40" s="2269"/>
      <c r="L40" s="2269"/>
      <c r="M40" s="2269"/>
      <c r="N40" s="2269"/>
      <c r="O40" s="2269"/>
      <c r="P40" s="2269"/>
      <c r="Q40" s="2269"/>
    </row>
    <row r="41" spans="2:17" s="747" customFormat="1">
      <c r="B41" s="2269"/>
      <c r="C41" s="2269"/>
      <c r="D41" s="2269"/>
      <c r="E41" s="2269"/>
      <c r="F41" s="2269"/>
      <c r="G41" s="2269"/>
      <c r="H41" s="2269"/>
      <c r="I41" s="2269"/>
      <c r="J41" s="2269"/>
      <c r="K41" s="2269"/>
      <c r="L41" s="2269"/>
      <c r="M41" s="2269"/>
      <c r="N41" s="2269"/>
      <c r="O41" s="2269"/>
      <c r="P41" s="2269"/>
      <c r="Q41" s="2269"/>
    </row>
    <row r="42" spans="2:17" s="747" customFormat="1">
      <c r="B42" s="2269"/>
      <c r="C42" s="2269"/>
      <c r="D42" s="2269"/>
      <c r="E42" s="2269"/>
      <c r="F42" s="2269"/>
      <c r="G42" s="2269"/>
      <c r="H42" s="2269"/>
      <c r="I42" s="2269"/>
      <c r="J42" s="2269"/>
      <c r="K42" s="2269"/>
      <c r="L42" s="2269"/>
      <c r="M42" s="2269"/>
      <c r="N42" s="2269"/>
      <c r="O42" s="2269"/>
      <c r="P42" s="2269"/>
      <c r="Q42" s="2269"/>
    </row>
    <row r="43" spans="2:17" s="747" customFormat="1">
      <c r="B43" s="2269"/>
      <c r="C43" s="2269"/>
      <c r="D43" s="2269"/>
      <c r="E43" s="2269"/>
      <c r="F43" s="2269"/>
      <c r="G43" s="2269"/>
      <c r="H43" s="2269"/>
      <c r="I43" s="2269"/>
      <c r="J43" s="2269"/>
      <c r="K43" s="2269"/>
      <c r="L43" s="2269"/>
      <c r="M43" s="2269"/>
      <c r="N43" s="2269"/>
      <c r="O43" s="2269"/>
      <c r="P43" s="2269"/>
      <c r="Q43" s="2269"/>
    </row>
    <row r="44" spans="2:17" s="747" customFormat="1">
      <c r="B44" s="2269"/>
      <c r="C44" s="2269"/>
      <c r="D44" s="2269"/>
      <c r="E44" s="2269"/>
      <c r="F44" s="2269"/>
      <c r="G44" s="2269"/>
      <c r="H44" s="2269"/>
      <c r="I44" s="2269"/>
      <c r="J44" s="2269"/>
      <c r="K44" s="2269"/>
      <c r="L44" s="2269"/>
      <c r="M44" s="2269"/>
      <c r="N44" s="2269"/>
      <c r="O44" s="2269"/>
      <c r="P44" s="2269"/>
      <c r="Q44" s="2269"/>
    </row>
    <row r="45" spans="2:17" s="747" customFormat="1">
      <c r="B45" s="2269"/>
      <c r="C45" s="2269"/>
      <c r="D45" s="2269"/>
      <c r="E45" s="2269"/>
      <c r="F45" s="2269"/>
      <c r="G45" s="2269"/>
      <c r="H45" s="2269"/>
      <c r="I45" s="2269"/>
      <c r="J45" s="2269"/>
      <c r="K45" s="2269"/>
      <c r="L45" s="2269"/>
      <c r="M45" s="2269"/>
      <c r="N45" s="2269"/>
      <c r="O45" s="2269"/>
      <c r="P45" s="2269"/>
      <c r="Q45" s="2269"/>
    </row>
    <row r="46" spans="2:17" s="747" customFormat="1">
      <c r="B46" s="2269"/>
      <c r="C46" s="2269"/>
      <c r="D46" s="2269"/>
      <c r="E46" s="2269"/>
      <c r="F46" s="2269"/>
      <c r="G46" s="2269"/>
      <c r="H46" s="2269"/>
      <c r="I46" s="2269"/>
      <c r="J46" s="2269"/>
      <c r="K46" s="2269"/>
      <c r="L46" s="2269"/>
      <c r="M46" s="2269"/>
      <c r="N46" s="2269"/>
      <c r="O46" s="2269"/>
      <c r="P46" s="2269"/>
      <c r="Q46" s="2269"/>
    </row>
    <row r="47" spans="2:17" s="747" customFormat="1">
      <c r="B47" s="2269"/>
      <c r="C47" s="2269"/>
      <c r="D47" s="2269"/>
      <c r="E47" s="2269"/>
      <c r="F47" s="2269"/>
      <c r="G47" s="2269"/>
      <c r="H47" s="2269"/>
      <c r="I47" s="2269"/>
      <c r="J47" s="2269"/>
      <c r="K47" s="2269"/>
      <c r="L47" s="2269"/>
      <c r="M47" s="2269"/>
      <c r="N47" s="2269"/>
      <c r="O47" s="2269"/>
      <c r="P47" s="2269"/>
      <c r="Q47" s="2269"/>
    </row>
    <row r="48" spans="2:17" s="747" customFormat="1">
      <c r="B48" s="2269"/>
      <c r="C48" s="2269"/>
      <c r="D48" s="2269"/>
      <c r="E48" s="2269"/>
      <c r="F48" s="2269"/>
      <c r="G48" s="2269"/>
      <c r="H48" s="2269"/>
      <c r="I48" s="2269"/>
      <c r="J48" s="2269"/>
      <c r="K48" s="2269"/>
      <c r="L48" s="2269"/>
      <c r="M48" s="2269"/>
      <c r="N48" s="2269"/>
      <c r="O48" s="2269"/>
      <c r="P48" s="2269"/>
      <c r="Q48" s="2269"/>
    </row>
    <row r="49" spans="2:17" s="747" customFormat="1">
      <c r="B49" s="2269"/>
      <c r="C49" s="2269"/>
      <c r="D49" s="2269"/>
      <c r="E49" s="2269"/>
      <c r="F49" s="2269"/>
      <c r="G49" s="2269"/>
      <c r="H49" s="2269"/>
      <c r="I49" s="2269"/>
      <c r="J49" s="2269"/>
      <c r="K49" s="2269"/>
      <c r="L49" s="2269"/>
      <c r="M49" s="2269"/>
      <c r="N49" s="2269"/>
      <c r="O49" s="2269"/>
      <c r="P49" s="2269"/>
      <c r="Q49" s="2269"/>
    </row>
    <row r="50" spans="2:17" s="747" customFormat="1">
      <c r="B50" s="2269"/>
      <c r="C50" s="2269"/>
      <c r="D50" s="2269"/>
      <c r="E50" s="2269"/>
      <c r="F50" s="2269"/>
      <c r="G50" s="2269"/>
      <c r="H50" s="2269"/>
      <c r="I50" s="2269"/>
      <c r="J50" s="2269"/>
      <c r="K50" s="2269"/>
      <c r="L50" s="2269"/>
      <c r="M50" s="2269"/>
      <c r="N50" s="2269"/>
      <c r="O50" s="2269"/>
      <c r="P50" s="2269"/>
      <c r="Q50" s="2269"/>
    </row>
    <row r="51" spans="2:17" s="747" customFormat="1">
      <c r="B51" s="2269"/>
      <c r="C51" s="2269"/>
      <c r="D51" s="2269"/>
      <c r="E51" s="2269"/>
      <c r="F51" s="2269"/>
      <c r="G51" s="2269"/>
      <c r="H51" s="2269"/>
      <c r="I51" s="2269"/>
      <c r="J51" s="2269"/>
      <c r="K51" s="2269"/>
      <c r="L51" s="2269"/>
      <c r="M51" s="2269"/>
      <c r="N51" s="2269"/>
      <c r="O51" s="2269"/>
      <c r="P51" s="2269"/>
      <c r="Q51" s="2269"/>
    </row>
    <row r="52" spans="2:17" s="747" customFormat="1">
      <c r="B52" s="2269"/>
      <c r="C52" s="2269"/>
      <c r="D52" s="2269"/>
      <c r="E52" s="2269"/>
      <c r="F52" s="2269"/>
      <c r="G52" s="2269"/>
      <c r="H52" s="2269"/>
      <c r="I52" s="2269"/>
      <c r="J52" s="2269"/>
      <c r="K52" s="2269"/>
      <c r="L52" s="2269"/>
      <c r="M52" s="2269"/>
      <c r="N52" s="2269"/>
      <c r="O52" s="2269"/>
      <c r="P52" s="2269"/>
      <c r="Q52" s="2269"/>
    </row>
    <row r="53" spans="2:17" s="747" customFormat="1">
      <c r="B53" s="2269"/>
      <c r="C53" s="2269"/>
      <c r="D53" s="2269"/>
      <c r="E53" s="2269"/>
      <c r="F53" s="2269"/>
      <c r="G53" s="2269"/>
      <c r="H53" s="2269"/>
      <c r="I53" s="2269"/>
      <c r="J53" s="2269"/>
      <c r="K53" s="2269"/>
      <c r="L53" s="2269"/>
      <c r="M53" s="2269"/>
      <c r="N53" s="2269"/>
      <c r="O53" s="2269"/>
      <c r="P53" s="2269"/>
      <c r="Q53" s="2269"/>
    </row>
    <row r="54" spans="2:17" s="747" customFormat="1">
      <c r="B54" s="2269"/>
      <c r="C54" s="2269"/>
      <c r="D54" s="2269"/>
      <c r="E54" s="2269"/>
      <c r="F54" s="2269"/>
      <c r="G54" s="2269"/>
      <c r="H54" s="2269"/>
      <c r="I54" s="2269"/>
      <c r="J54" s="2269"/>
      <c r="K54" s="2269"/>
      <c r="L54" s="2269"/>
      <c r="M54" s="2269"/>
      <c r="N54" s="2269"/>
      <c r="O54" s="2269"/>
      <c r="P54" s="2269"/>
      <c r="Q54" s="2269"/>
    </row>
    <row r="55" spans="2:17" s="747" customFormat="1">
      <c r="B55" s="2269"/>
      <c r="C55" s="2269"/>
      <c r="D55" s="2269"/>
      <c r="E55" s="2269"/>
      <c r="F55" s="2269"/>
      <c r="G55" s="2269"/>
      <c r="H55" s="2269"/>
      <c r="I55" s="2269"/>
      <c r="J55" s="2269"/>
      <c r="K55" s="2269"/>
      <c r="L55" s="2269"/>
      <c r="M55" s="2269"/>
      <c r="N55" s="2269"/>
      <c r="O55" s="2269"/>
      <c r="P55" s="2269"/>
      <c r="Q55" s="2269"/>
    </row>
    <row r="56" spans="2:17" s="747" customFormat="1">
      <c r="B56" s="2269"/>
      <c r="C56" s="2269"/>
      <c r="D56" s="2269"/>
      <c r="E56" s="2269"/>
      <c r="F56" s="2269"/>
      <c r="G56" s="2269"/>
      <c r="H56" s="2269"/>
      <c r="I56" s="2269"/>
      <c r="J56" s="2269"/>
      <c r="K56" s="2269"/>
      <c r="L56" s="2269"/>
      <c r="M56" s="2269"/>
      <c r="N56" s="2269"/>
      <c r="O56" s="2269"/>
      <c r="P56" s="2269"/>
      <c r="Q56" s="2269"/>
    </row>
    <row r="57" spans="2:17" s="747" customFormat="1">
      <c r="B57" s="2269"/>
      <c r="C57" s="2269"/>
      <c r="D57" s="2269"/>
      <c r="E57" s="2269"/>
      <c r="F57" s="2269"/>
      <c r="G57" s="2269"/>
      <c r="H57" s="2269"/>
      <c r="I57" s="2269"/>
      <c r="J57" s="2269"/>
      <c r="K57" s="2269"/>
      <c r="L57" s="2269"/>
      <c r="M57" s="2269"/>
      <c r="N57" s="2269"/>
      <c r="O57" s="2269"/>
      <c r="P57" s="2269"/>
      <c r="Q57" s="2269"/>
    </row>
    <row r="58" spans="2:17" s="747" customFormat="1">
      <c r="B58" s="2269"/>
      <c r="C58" s="2269"/>
      <c r="D58" s="2269"/>
      <c r="E58" s="2269"/>
      <c r="F58" s="2269"/>
      <c r="G58" s="2269"/>
      <c r="H58" s="2269"/>
      <c r="I58" s="2269"/>
      <c r="J58" s="2269"/>
      <c r="K58" s="2269"/>
      <c r="L58" s="2269"/>
      <c r="M58" s="2269"/>
      <c r="N58" s="2269"/>
      <c r="O58" s="2269"/>
      <c r="P58" s="2269"/>
      <c r="Q58" s="2269"/>
    </row>
    <row r="59" spans="2:17" s="747" customFormat="1">
      <c r="B59" s="2269"/>
      <c r="C59" s="2269"/>
      <c r="D59" s="2269"/>
      <c r="E59" s="2269"/>
      <c r="F59" s="2269"/>
      <c r="G59" s="2269"/>
      <c r="H59" s="2269"/>
      <c r="I59" s="2269"/>
      <c r="J59" s="2269"/>
      <c r="K59" s="2269"/>
      <c r="L59" s="2269"/>
      <c r="M59" s="2269"/>
      <c r="N59" s="2269"/>
      <c r="O59" s="2269"/>
      <c r="P59" s="2269"/>
      <c r="Q59" s="2269"/>
    </row>
    <row r="60" spans="2:17" s="747" customFormat="1">
      <c r="B60" s="2269"/>
      <c r="C60" s="2269"/>
      <c r="D60" s="2269"/>
      <c r="E60" s="2269"/>
      <c r="F60" s="2269"/>
      <c r="G60" s="2269"/>
      <c r="H60" s="2269"/>
      <c r="I60" s="2269"/>
      <c r="J60" s="2269"/>
      <c r="K60" s="2269"/>
      <c r="L60" s="2269"/>
      <c r="M60" s="2269"/>
      <c r="N60" s="2269"/>
      <c r="O60" s="2269"/>
      <c r="P60" s="2269"/>
      <c r="Q60" s="2269"/>
    </row>
    <row r="61" spans="2:17" s="747" customFormat="1">
      <c r="B61" s="2269"/>
      <c r="C61" s="2269"/>
      <c r="D61" s="2269"/>
      <c r="E61" s="2269"/>
      <c r="F61" s="2269"/>
      <c r="G61" s="2269"/>
      <c r="H61" s="2269"/>
      <c r="I61" s="2269"/>
      <c r="J61" s="2269"/>
      <c r="K61" s="2269"/>
      <c r="L61" s="2269"/>
      <c r="M61" s="2269"/>
      <c r="N61" s="2269"/>
      <c r="O61" s="2269"/>
      <c r="P61" s="2269"/>
      <c r="Q61" s="2269"/>
    </row>
    <row r="62" spans="2:17" s="747" customFormat="1">
      <c r="B62" s="2269"/>
      <c r="C62" s="2269"/>
      <c r="D62" s="2269"/>
      <c r="E62" s="2269"/>
      <c r="F62" s="2269"/>
      <c r="G62" s="2269"/>
      <c r="H62" s="2269"/>
      <c r="I62" s="2269"/>
      <c r="J62" s="2269"/>
      <c r="K62" s="2269"/>
      <c r="L62" s="2269"/>
      <c r="M62" s="2269"/>
      <c r="N62" s="2269"/>
      <c r="O62" s="2269"/>
      <c r="P62" s="2269"/>
      <c r="Q62" s="2269"/>
    </row>
    <row r="63" spans="2:17" s="747" customFormat="1">
      <c r="B63" s="2269"/>
      <c r="C63" s="2269"/>
      <c r="D63" s="2269"/>
      <c r="E63" s="2269"/>
      <c r="F63" s="2269"/>
      <c r="G63" s="2269"/>
      <c r="H63" s="2269"/>
      <c r="I63" s="2269"/>
      <c r="J63" s="2269"/>
      <c r="K63" s="2269"/>
      <c r="L63" s="2269"/>
      <c r="M63" s="2269"/>
      <c r="N63" s="2269"/>
      <c r="O63" s="2269"/>
      <c r="P63" s="2269"/>
      <c r="Q63" s="2269"/>
    </row>
    <row r="64" spans="2:17" s="747" customFormat="1">
      <c r="B64" s="2269"/>
      <c r="C64" s="2269"/>
      <c r="D64" s="2269"/>
      <c r="E64" s="2269"/>
      <c r="F64" s="2269"/>
      <c r="G64" s="2269"/>
      <c r="H64" s="2269"/>
      <c r="I64" s="2269"/>
      <c r="J64" s="2269"/>
      <c r="K64" s="2269"/>
      <c r="L64" s="2269"/>
      <c r="M64" s="2269"/>
      <c r="N64" s="2269"/>
      <c r="O64" s="2269"/>
      <c r="P64" s="2269"/>
      <c r="Q64" s="2269"/>
    </row>
    <row r="65" spans="2:17" s="747" customFormat="1">
      <c r="B65" s="2269"/>
      <c r="C65" s="2269"/>
      <c r="D65" s="2269"/>
      <c r="E65" s="2269"/>
      <c r="F65" s="2269"/>
      <c r="G65" s="2269"/>
      <c r="H65" s="2269"/>
      <c r="I65" s="2269"/>
      <c r="J65" s="2269"/>
      <c r="K65" s="2269"/>
      <c r="L65" s="2269"/>
      <c r="M65" s="2269"/>
      <c r="N65" s="2269"/>
      <c r="O65" s="2269"/>
      <c r="P65" s="2269"/>
      <c r="Q65" s="2269"/>
    </row>
    <row r="66" spans="2:17" s="747" customFormat="1">
      <c r="B66" s="2269"/>
      <c r="C66" s="2269"/>
      <c r="D66" s="2269"/>
      <c r="E66" s="2269"/>
      <c r="F66" s="2269"/>
      <c r="G66" s="2269"/>
      <c r="H66" s="2269"/>
      <c r="I66" s="2269"/>
      <c r="J66" s="2269"/>
      <c r="K66" s="2269"/>
      <c r="L66" s="2269"/>
      <c r="M66" s="2269"/>
      <c r="N66" s="2269"/>
      <c r="O66" s="2269"/>
      <c r="P66" s="2269"/>
      <c r="Q66" s="2269"/>
    </row>
    <row r="67" spans="2:17" s="747" customFormat="1">
      <c r="B67" s="2269"/>
      <c r="C67" s="2269"/>
      <c r="D67" s="2269"/>
      <c r="E67" s="2269"/>
      <c r="F67" s="2269"/>
      <c r="G67" s="2269"/>
      <c r="H67" s="2269"/>
      <c r="I67" s="2269"/>
      <c r="J67" s="2269"/>
      <c r="K67" s="2269"/>
      <c r="L67" s="2269"/>
      <c r="M67" s="2269"/>
      <c r="N67" s="2269"/>
      <c r="O67" s="2269"/>
      <c r="P67" s="2269"/>
      <c r="Q67" s="2269"/>
    </row>
    <row r="68" spans="2:17" s="747" customFormat="1">
      <c r="B68" s="2269"/>
      <c r="C68" s="2269"/>
      <c r="D68" s="2269"/>
      <c r="E68" s="2269"/>
      <c r="F68" s="2269"/>
      <c r="G68" s="2269"/>
      <c r="H68" s="2269"/>
      <c r="I68" s="2269"/>
      <c r="J68" s="2269"/>
      <c r="K68" s="2269"/>
      <c r="L68" s="2269"/>
      <c r="M68" s="2269"/>
      <c r="N68" s="2269"/>
      <c r="O68" s="2269"/>
      <c r="P68" s="2269"/>
      <c r="Q68" s="2269"/>
    </row>
    <row r="69" spans="2:17" s="747" customFormat="1">
      <c r="B69" s="2269"/>
      <c r="C69" s="2269"/>
      <c r="D69" s="2269"/>
      <c r="E69" s="2269"/>
      <c r="F69" s="2269"/>
      <c r="G69" s="2269"/>
      <c r="H69" s="2269"/>
      <c r="I69" s="2269"/>
      <c r="J69" s="2269"/>
      <c r="K69" s="2269"/>
      <c r="L69" s="2269"/>
      <c r="M69" s="2269"/>
      <c r="N69" s="2269"/>
      <c r="O69" s="2269"/>
      <c r="P69" s="2269"/>
      <c r="Q69" s="2269"/>
    </row>
    <row r="70" spans="2:17" s="747" customFormat="1">
      <c r="B70" s="2269"/>
      <c r="C70" s="2269"/>
      <c r="D70" s="2269"/>
      <c r="E70" s="2269"/>
      <c r="F70" s="2269"/>
      <c r="G70" s="2269"/>
      <c r="H70" s="2269"/>
      <c r="I70" s="2269"/>
      <c r="J70" s="2269"/>
      <c r="K70" s="2269"/>
      <c r="L70" s="2269"/>
      <c r="M70" s="2269"/>
      <c r="N70" s="2269"/>
      <c r="O70" s="2269"/>
      <c r="P70" s="2269"/>
      <c r="Q70" s="2269"/>
    </row>
    <row r="71" spans="2:17" s="747" customFormat="1">
      <c r="B71" s="2269"/>
      <c r="C71" s="2269"/>
      <c r="D71" s="2269"/>
      <c r="E71" s="2269"/>
      <c r="F71" s="2269"/>
      <c r="G71" s="2269"/>
      <c r="H71" s="2269"/>
      <c r="I71" s="2269"/>
      <c r="J71" s="2269"/>
      <c r="K71" s="2269"/>
      <c r="L71" s="2269"/>
      <c r="M71" s="2269"/>
      <c r="N71" s="2269"/>
      <c r="O71" s="2269"/>
      <c r="P71" s="2269"/>
      <c r="Q71" s="2269"/>
    </row>
    <row r="72" spans="2:17" s="747" customFormat="1">
      <c r="B72" s="2269"/>
      <c r="C72" s="2269"/>
      <c r="D72" s="2269"/>
      <c r="E72" s="2269"/>
      <c r="F72" s="2269"/>
      <c r="G72" s="2269"/>
      <c r="H72" s="2269"/>
      <c r="I72" s="2269"/>
      <c r="J72" s="2269"/>
      <c r="K72" s="2269"/>
      <c r="L72" s="2269"/>
      <c r="M72" s="2269"/>
      <c r="N72" s="2269"/>
      <c r="O72" s="2269"/>
      <c r="P72" s="2269"/>
      <c r="Q72" s="2269"/>
    </row>
    <row r="73" spans="2:17" s="747" customFormat="1">
      <c r="B73" s="2269"/>
      <c r="C73" s="2269"/>
      <c r="D73" s="2269"/>
      <c r="E73" s="2269"/>
      <c r="F73" s="2269"/>
      <c r="G73" s="2269"/>
      <c r="H73" s="2269"/>
      <c r="I73" s="2269"/>
      <c r="J73" s="2269"/>
      <c r="K73" s="2269"/>
      <c r="L73" s="2269"/>
      <c r="M73" s="2269"/>
      <c r="N73" s="2269"/>
      <c r="O73" s="2269"/>
      <c r="P73" s="2269"/>
      <c r="Q73" s="2269"/>
    </row>
    <row r="74" spans="2:17" s="747" customFormat="1">
      <c r="B74" s="2269"/>
      <c r="C74" s="2269"/>
      <c r="D74" s="2269"/>
      <c r="E74" s="2269"/>
      <c r="F74" s="2269"/>
      <c r="G74" s="2269"/>
      <c r="H74" s="2269"/>
      <c r="I74" s="2269"/>
      <c r="J74" s="2269"/>
      <c r="K74" s="2269"/>
      <c r="L74" s="2269"/>
      <c r="M74" s="2269"/>
      <c r="N74" s="2269"/>
      <c r="O74" s="2269"/>
      <c r="P74" s="2269"/>
      <c r="Q74" s="2269"/>
    </row>
    <row r="75" spans="2:17" s="747" customFormat="1">
      <c r="B75" s="2269"/>
      <c r="C75" s="2269"/>
      <c r="D75" s="2269"/>
      <c r="E75" s="2269"/>
      <c r="F75" s="2269"/>
      <c r="G75" s="2269"/>
      <c r="H75" s="2269"/>
      <c r="I75" s="2269"/>
      <c r="J75" s="2269"/>
      <c r="K75" s="2269"/>
      <c r="L75" s="2269"/>
      <c r="M75" s="2269"/>
      <c r="N75" s="2269"/>
      <c r="O75" s="2269"/>
      <c r="P75" s="2269"/>
      <c r="Q75" s="2269"/>
    </row>
    <row r="76" spans="2:17" s="747" customFormat="1">
      <c r="B76" s="2269"/>
      <c r="C76" s="2269"/>
      <c r="D76" s="2269"/>
      <c r="E76" s="2269"/>
      <c r="F76" s="2269"/>
      <c r="G76" s="2269"/>
      <c r="H76" s="2269"/>
      <c r="I76" s="2269"/>
      <c r="J76" s="2269"/>
      <c r="K76" s="2269"/>
      <c r="L76" s="2269"/>
      <c r="M76" s="2269"/>
      <c r="N76" s="2269"/>
      <c r="O76" s="2269"/>
      <c r="P76" s="2269"/>
      <c r="Q76" s="2269"/>
    </row>
    <row r="77" spans="2:17" s="747" customFormat="1">
      <c r="B77" s="2269"/>
      <c r="C77" s="2269"/>
      <c r="D77" s="2269"/>
      <c r="E77" s="2269"/>
      <c r="F77" s="2269"/>
      <c r="G77" s="2269"/>
      <c r="H77" s="2269"/>
      <c r="I77" s="2269"/>
      <c r="J77" s="2269"/>
      <c r="K77" s="2269"/>
      <c r="L77" s="2269"/>
      <c r="M77" s="2269"/>
      <c r="N77" s="2269"/>
      <c r="O77" s="2269"/>
      <c r="P77" s="2269"/>
      <c r="Q77" s="2269"/>
    </row>
    <row r="78" spans="2:17" s="747" customFormat="1">
      <c r="B78" s="2269"/>
      <c r="C78" s="2269"/>
      <c r="D78" s="2269"/>
      <c r="E78" s="2269"/>
      <c r="F78" s="2269"/>
      <c r="G78" s="2269"/>
      <c r="H78" s="2269"/>
      <c r="I78" s="2269"/>
      <c r="J78" s="2269"/>
      <c r="K78" s="2269"/>
      <c r="L78" s="2269"/>
      <c r="M78" s="2269"/>
      <c r="N78" s="2269"/>
      <c r="O78" s="2269"/>
      <c r="P78" s="2269"/>
      <c r="Q78" s="2269"/>
    </row>
    <row r="79" spans="2:17" s="747" customFormat="1">
      <c r="B79" s="2269"/>
      <c r="C79" s="2269"/>
      <c r="D79" s="2269"/>
      <c r="E79" s="2269"/>
      <c r="F79" s="2269"/>
      <c r="G79" s="2269"/>
      <c r="H79" s="2269"/>
      <c r="I79" s="2269"/>
      <c r="J79" s="2269"/>
      <c r="K79" s="2269"/>
      <c r="L79" s="2269"/>
      <c r="M79" s="2269"/>
      <c r="N79" s="2269"/>
      <c r="O79" s="2269"/>
      <c r="P79" s="2269"/>
      <c r="Q79" s="2269"/>
    </row>
    <row r="80" spans="2:17" s="747" customFormat="1">
      <c r="B80" s="2269"/>
      <c r="C80" s="2269"/>
      <c r="D80" s="2269"/>
      <c r="E80" s="2269"/>
      <c r="F80" s="2269"/>
      <c r="G80" s="2269"/>
      <c r="H80" s="2269"/>
      <c r="I80" s="2269"/>
      <c r="J80" s="2269"/>
      <c r="K80" s="2269"/>
      <c r="L80" s="2269"/>
      <c r="M80" s="2269"/>
      <c r="N80" s="2269"/>
      <c r="O80" s="2269"/>
      <c r="P80" s="2269"/>
      <c r="Q80" s="2269"/>
    </row>
    <row r="81" spans="2:17" s="747" customFormat="1">
      <c r="B81" s="2269"/>
      <c r="C81" s="2269"/>
      <c r="D81" s="2269"/>
      <c r="E81" s="2269"/>
      <c r="F81" s="2269"/>
      <c r="G81" s="2269"/>
      <c r="H81" s="2269"/>
      <c r="I81" s="2269"/>
      <c r="J81" s="2269"/>
      <c r="K81" s="2269"/>
      <c r="L81" s="2269"/>
      <c r="M81" s="2269"/>
      <c r="N81" s="2269"/>
      <c r="O81" s="2269"/>
      <c r="P81" s="2269"/>
      <c r="Q81" s="2269"/>
    </row>
    <row r="82" spans="2:17" s="747" customFormat="1">
      <c r="B82" s="2269"/>
      <c r="C82" s="2269"/>
      <c r="D82" s="2269"/>
      <c r="E82" s="2269"/>
      <c r="F82" s="2269"/>
      <c r="G82" s="2269"/>
      <c r="H82" s="2269"/>
      <c r="I82" s="2269"/>
      <c r="J82" s="2269"/>
      <c r="K82" s="2269"/>
      <c r="L82" s="2269"/>
      <c r="M82" s="2269"/>
      <c r="N82" s="2269"/>
      <c r="O82" s="2269"/>
      <c r="P82" s="2269"/>
      <c r="Q82" s="2269"/>
    </row>
    <row r="83" spans="2:17" s="747" customFormat="1">
      <c r="B83" s="2269"/>
      <c r="C83" s="2269"/>
      <c r="D83" s="2269"/>
      <c r="E83" s="2269"/>
      <c r="F83" s="2269"/>
      <c r="G83" s="2269"/>
      <c r="H83" s="2269"/>
      <c r="I83" s="2269"/>
      <c r="J83" s="2269"/>
      <c r="K83" s="2269"/>
      <c r="L83" s="2269"/>
      <c r="M83" s="2269"/>
      <c r="N83" s="2269"/>
      <c r="O83" s="2269"/>
      <c r="P83" s="2269"/>
      <c r="Q83" s="2269"/>
    </row>
    <row r="84" spans="2:17" s="747" customFormat="1">
      <c r="B84" s="2269"/>
      <c r="C84" s="2269"/>
      <c r="D84" s="2269"/>
      <c r="E84" s="2269"/>
      <c r="F84" s="2269"/>
      <c r="G84" s="2269"/>
      <c r="H84" s="2269"/>
      <c r="I84" s="2269"/>
      <c r="J84" s="2269"/>
      <c r="K84" s="2269"/>
      <c r="L84" s="2269"/>
      <c r="M84" s="2269"/>
      <c r="N84" s="2269"/>
      <c r="O84" s="2269"/>
      <c r="P84" s="2269"/>
      <c r="Q84" s="2269"/>
    </row>
    <row r="85" spans="2:17" s="747" customFormat="1">
      <c r="B85" s="2269"/>
      <c r="C85" s="2269"/>
      <c r="D85" s="2269"/>
      <c r="E85" s="2269"/>
      <c r="F85" s="2269"/>
      <c r="G85" s="2269"/>
      <c r="H85" s="2269"/>
      <c r="I85" s="2269"/>
      <c r="J85" s="2269"/>
      <c r="K85" s="2269"/>
      <c r="L85" s="2269"/>
      <c r="M85" s="2269"/>
      <c r="N85" s="2269"/>
      <c r="O85" s="2269"/>
      <c r="P85" s="2269"/>
      <c r="Q85" s="2269"/>
    </row>
    <row r="86" spans="2:17" s="747" customFormat="1">
      <c r="B86" s="2269"/>
      <c r="C86" s="2269"/>
      <c r="D86" s="2269"/>
      <c r="E86" s="2269"/>
      <c r="F86" s="2269"/>
      <c r="G86" s="2269"/>
      <c r="H86" s="2269"/>
      <c r="I86" s="2269"/>
      <c r="J86" s="2269"/>
      <c r="K86" s="2269"/>
      <c r="L86" s="2269"/>
      <c r="M86" s="2269"/>
      <c r="N86" s="2269"/>
      <c r="O86" s="2269"/>
      <c r="P86" s="2269"/>
      <c r="Q86" s="2269"/>
    </row>
    <row r="87" spans="2:17" s="747" customFormat="1">
      <c r="B87" s="2269"/>
      <c r="C87" s="2269"/>
      <c r="D87" s="2269"/>
      <c r="E87" s="2269"/>
      <c r="F87" s="2269"/>
      <c r="G87" s="2269"/>
      <c r="H87" s="2269"/>
      <c r="I87" s="2269"/>
      <c r="J87" s="2269"/>
      <c r="K87" s="2269"/>
      <c r="L87" s="2269"/>
      <c r="M87" s="2269"/>
      <c r="N87" s="2269"/>
      <c r="O87" s="2269"/>
      <c r="P87" s="2269"/>
      <c r="Q87" s="2269"/>
    </row>
    <row r="88" spans="2:17" s="747" customFormat="1">
      <c r="B88" s="2269"/>
      <c r="C88" s="2269"/>
      <c r="D88" s="2269"/>
      <c r="E88" s="2269"/>
      <c r="F88" s="2269"/>
      <c r="G88" s="2269"/>
      <c r="H88" s="2269"/>
      <c r="I88" s="2269"/>
      <c r="J88" s="2269"/>
      <c r="K88" s="2269"/>
      <c r="L88" s="2269"/>
      <c r="M88" s="2269"/>
      <c r="N88" s="2269"/>
      <c r="O88" s="2269"/>
      <c r="P88" s="2269"/>
      <c r="Q88" s="2269"/>
    </row>
    <row r="89" spans="2:17" s="747" customFormat="1">
      <c r="B89" s="2269"/>
      <c r="C89" s="2269"/>
      <c r="D89" s="2269"/>
      <c r="E89" s="2269"/>
      <c r="F89" s="2269"/>
      <c r="G89" s="2269"/>
      <c r="H89" s="2269"/>
      <c r="I89" s="2269"/>
      <c r="J89" s="2269"/>
      <c r="K89" s="2269"/>
      <c r="L89" s="2269"/>
      <c r="M89" s="2269"/>
      <c r="N89" s="2269"/>
      <c r="O89" s="2269"/>
      <c r="P89" s="2269"/>
      <c r="Q89" s="2269"/>
    </row>
    <row r="90" spans="2:17" s="747" customFormat="1">
      <c r="B90" s="2269"/>
      <c r="C90" s="2269"/>
      <c r="D90" s="2269"/>
      <c r="E90" s="2269"/>
      <c r="F90" s="2269"/>
      <c r="G90" s="2269"/>
      <c r="H90" s="2269"/>
      <c r="I90" s="2269"/>
      <c r="J90" s="2269"/>
      <c r="K90" s="2269"/>
      <c r="L90" s="2269"/>
      <c r="M90" s="2269"/>
      <c r="N90" s="2269"/>
      <c r="O90" s="2269"/>
      <c r="P90" s="2269"/>
      <c r="Q90" s="2269"/>
    </row>
    <row r="91" spans="2:17" s="747" customFormat="1">
      <c r="B91" s="2269"/>
      <c r="C91" s="2269"/>
      <c r="D91" s="2269"/>
      <c r="E91" s="2269"/>
      <c r="F91" s="2269"/>
      <c r="G91" s="2269"/>
      <c r="H91" s="2269"/>
      <c r="I91" s="2269"/>
      <c r="J91" s="2269"/>
      <c r="K91" s="2269"/>
      <c r="L91" s="2269"/>
      <c r="M91" s="2269"/>
      <c r="N91" s="2269"/>
      <c r="O91" s="2269"/>
      <c r="P91" s="2269"/>
      <c r="Q91" s="2269"/>
    </row>
    <row r="92" spans="2:17" s="747" customFormat="1">
      <c r="B92" s="2269"/>
      <c r="C92" s="2269"/>
      <c r="D92" s="2269"/>
      <c r="E92" s="2269"/>
      <c r="F92" s="2269"/>
      <c r="G92" s="2269"/>
      <c r="H92" s="2269"/>
      <c r="I92" s="2269"/>
      <c r="J92" s="2269"/>
      <c r="K92" s="2269"/>
      <c r="L92" s="2269"/>
      <c r="M92" s="2269"/>
      <c r="N92" s="2269"/>
      <c r="O92" s="2269"/>
      <c r="P92" s="2269"/>
      <c r="Q92" s="2269"/>
    </row>
    <row r="93" spans="2:17" s="747" customFormat="1">
      <c r="B93" s="2269"/>
      <c r="C93" s="2269"/>
      <c r="D93" s="2269"/>
      <c r="E93" s="2269"/>
      <c r="F93" s="2269"/>
      <c r="G93" s="2269"/>
      <c r="H93" s="2269"/>
      <c r="I93" s="2269"/>
      <c r="J93" s="2269"/>
      <c r="K93" s="2269"/>
      <c r="L93" s="2269"/>
      <c r="M93" s="2269"/>
      <c r="N93" s="2269"/>
      <c r="O93" s="2269"/>
      <c r="P93" s="2269"/>
      <c r="Q93" s="2269"/>
    </row>
    <row r="94" spans="2:17" s="747" customFormat="1">
      <c r="B94" s="2269"/>
      <c r="C94" s="2269"/>
      <c r="D94" s="2269"/>
      <c r="E94" s="2269"/>
      <c r="F94" s="2269"/>
      <c r="G94" s="2269"/>
      <c r="H94" s="2269"/>
      <c r="I94" s="2269"/>
      <c r="J94" s="2269"/>
      <c r="K94" s="2269"/>
      <c r="L94" s="2269"/>
      <c r="M94" s="2269"/>
      <c r="N94" s="2269"/>
      <c r="O94" s="2269"/>
      <c r="P94" s="2269"/>
      <c r="Q94" s="2269"/>
    </row>
    <row r="95" spans="2:17" s="747" customFormat="1">
      <c r="B95" s="2269"/>
      <c r="C95" s="2269"/>
      <c r="D95" s="2269"/>
      <c r="E95" s="2269"/>
      <c r="F95" s="2269"/>
      <c r="G95" s="2269"/>
      <c r="H95" s="2269"/>
      <c r="I95" s="2269"/>
      <c r="J95" s="2269"/>
      <c r="K95" s="2269"/>
      <c r="L95" s="2269"/>
      <c r="M95" s="2269"/>
      <c r="N95" s="2269"/>
      <c r="O95" s="2269"/>
      <c r="P95" s="2269"/>
      <c r="Q95" s="2269"/>
    </row>
    <row r="96" spans="2:17" s="747" customFormat="1">
      <c r="B96" s="2269"/>
      <c r="C96" s="2269"/>
      <c r="D96" s="2269"/>
      <c r="E96" s="2269"/>
      <c r="F96" s="2269"/>
      <c r="G96" s="2269"/>
      <c r="H96" s="2269"/>
      <c r="I96" s="2269"/>
      <c r="J96" s="2269"/>
      <c r="K96" s="2269"/>
      <c r="L96" s="2269"/>
      <c r="M96" s="2269"/>
      <c r="N96" s="2269"/>
      <c r="O96" s="2269"/>
      <c r="P96" s="2269"/>
      <c r="Q96" s="2269"/>
    </row>
    <row r="97" spans="2:17" s="747" customFormat="1">
      <c r="B97" s="2269"/>
      <c r="C97" s="2269"/>
      <c r="D97" s="2269"/>
      <c r="E97" s="2269"/>
      <c r="F97" s="2269"/>
      <c r="G97" s="2269"/>
      <c r="H97" s="2269"/>
      <c r="I97" s="2269"/>
      <c r="J97" s="2269"/>
      <c r="K97" s="2269"/>
      <c r="L97" s="2269"/>
      <c r="M97" s="2269"/>
      <c r="N97" s="2269"/>
      <c r="O97" s="2269"/>
      <c r="P97" s="2269"/>
      <c r="Q97" s="2269"/>
    </row>
    <row r="98" spans="2:17" s="747" customFormat="1">
      <c r="B98" s="2269"/>
      <c r="C98" s="2269"/>
      <c r="D98" s="2269"/>
      <c r="E98" s="2269"/>
      <c r="F98" s="2269"/>
      <c r="G98" s="2269"/>
      <c r="H98" s="2269"/>
      <c r="I98" s="2269"/>
      <c r="J98" s="2269"/>
      <c r="K98" s="2269"/>
      <c r="L98" s="2269"/>
      <c r="M98" s="2269"/>
      <c r="N98" s="2269"/>
      <c r="O98" s="2269"/>
      <c r="P98" s="2269"/>
      <c r="Q98" s="2269"/>
    </row>
    <row r="99" spans="2:17" s="747" customFormat="1">
      <c r="B99" s="2269"/>
      <c r="C99" s="2269"/>
      <c r="D99" s="2269"/>
      <c r="E99" s="2269"/>
      <c r="F99" s="2269"/>
      <c r="G99" s="2269"/>
      <c r="H99" s="2269"/>
      <c r="I99" s="2269"/>
      <c r="J99" s="2269"/>
      <c r="K99" s="2269"/>
      <c r="L99" s="2269"/>
      <c r="M99" s="2269"/>
      <c r="N99" s="2269"/>
      <c r="O99" s="2269"/>
      <c r="P99" s="2269"/>
      <c r="Q99" s="2269"/>
    </row>
    <row r="100" spans="2:17" s="747" customFormat="1">
      <c r="B100" s="2269"/>
      <c r="C100" s="2269"/>
      <c r="D100" s="2269"/>
      <c r="E100" s="2269"/>
      <c r="F100" s="2269"/>
      <c r="G100" s="2269"/>
      <c r="H100" s="2269"/>
      <c r="I100" s="2269"/>
      <c r="J100" s="2269"/>
      <c r="K100" s="2269"/>
      <c r="L100" s="2269"/>
      <c r="M100" s="2269"/>
      <c r="N100" s="2269"/>
      <c r="O100" s="2269"/>
      <c r="P100" s="2269"/>
      <c r="Q100" s="2269"/>
    </row>
    <row r="101" spans="2:17" s="747" customFormat="1">
      <c r="B101" s="2269"/>
      <c r="C101" s="2269"/>
      <c r="D101" s="2269"/>
      <c r="E101" s="2269"/>
      <c r="F101" s="2269"/>
      <c r="G101" s="2269"/>
      <c r="H101" s="2269"/>
      <c r="I101" s="2269"/>
      <c r="J101" s="2269"/>
      <c r="K101" s="2269"/>
      <c r="L101" s="2269"/>
      <c r="M101" s="2269"/>
      <c r="N101" s="2269"/>
      <c r="O101" s="2269"/>
      <c r="P101" s="2269"/>
      <c r="Q101" s="2269"/>
    </row>
    <row r="102" spans="2:17" s="747" customFormat="1">
      <c r="B102" s="2269"/>
      <c r="C102" s="2269"/>
      <c r="D102" s="2269"/>
      <c r="E102" s="2269"/>
      <c r="F102" s="2269"/>
      <c r="G102" s="2269"/>
      <c r="H102" s="2269"/>
      <c r="I102" s="2269"/>
      <c r="J102" s="2269"/>
      <c r="K102" s="2269"/>
      <c r="L102" s="2269"/>
      <c r="M102" s="2269"/>
      <c r="N102" s="2269"/>
      <c r="O102" s="2269"/>
      <c r="P102" s="2269"/>
      <c r="Q102" s="2269"/>
    </row>
    <row r="103" spans="2:17" s="747" customFormat="1">
      <c r="B103" s="2269"/>
      <c r="C103" s="2269"/>
      <c r="D103" s="2269"/>
      <c r="E103" s="2269"/>
      <c r="F103" s="2269"/>
      <c r="G103" s="2269"/>
      <c r="H103" s="2269"/>
      <c r="I103" s="2269"/>
      <c r="J103" s="2269"/>
      <c r="K103" s="2269"/>
      <c r="L103" s="2269"/>
      <c r="M103" s="2269"/>
      <c r="N103" s="2269"/>
      <c r="O103" s="2269"/>
      <c r="P103" s="2269"/>
      <c r="Q103" s="2269"/>
    </row>
    <row r="104" spans="2:17" s="747" customFormat="1">
      <c r="B104" s="2269"/>
      <c r="C104" s="2269"/>
      <c r="D104" s="2269"/>
      <c r="E104" s="2269"/>
      <c r="F104" s="2269"/>
      <c r="G104" s="2269"/>
      <c r="H104" s="2269"/>
      <c r="I104" s="2269"/>
      <c r="J104" s="2269"/>
      <c r="K104" s="2269"/>
      <c r="L104" s="2269"/>
      <c r="M104" s="2269"/>
      <c r="N104" s="2269"/>
      <c r="O104" s="2269"/>
      <c r="P104" s="2269"/>
      <c r="Q104" s="2269"/>
    </row>
    <row r="105" spans="2:17" s="747" customFormat="1">
      <c r="B105" s="2269"/>
      <c r="C105" s="2269"/>
      <c r="D105" s="2269"/>
      <c r="E105" s="2269"/>
      <c r="F105" s="2269"/>
      <c r="G105" s="2269"/>
      <c r="H105" s="2269"/>
      <c r="I105" s="2269"/>
      <c r="J105" s="2269"/>
      <c r="K105" s="2269"/>
      <c r="L105" s="2269"/>
      <c r="M105" s="2269"/>
      <c r="N105" s="2269"/>
      <c r="O105" s="2269"/>
      <c r="P105" s="2269"/>
      <c r="Q105" s="2269"/>
    </row>
    <row r="106" spans="2:17" s="747" customFormat="1">
      <c r="B106" s="2269"/>
      <c r="C106" s="2269"/>
      <c r="D106" s="2269"/>
      <c r="E106" s="2269"/>
      <c r="F106" s="2269"/>
      <c r="G106" s="2269"/>
      <c r="H106" s="2269"/>
      <c r="I106" s="2269"/>
      <c r="J106" s="2269"/>
      <c r="K106" s="2269"/>
      <c r="L106" s="2269"/>
      <c r="M106" s="2269"/>
      <c r="N106" s="2269"/>
      <c r="O106" s="2269"/>
      <c r="P106" s="2269"/>
      <c r="Q106" s="2269"/>
    </row>
    <row r="107" spans="2:17" s="747" customFormat="1">
      <c r="B107" s="2269"/>
      <c r="C107" s="2269"/>
      <c r="D107" s="2269"/>
      <c r="E107" s="2269"/>
      <c r="F107" s="2269"/>
      <c r="G107" s="2269"/>
      <c r="H107" s="2269"/>
      <c r="I107" s="2269"/>
      <c r="J107" s="2269"/>
      <c r="K107" s="2269"/>
      <c r="L107" s="2269"/>
      <c r="M107" s="2269"/>
      <c r="N107" s="2269"/>
      <c r="O107" s="2269"/>
      <c r="P107" s="2269"/>
      <c r="Q107" s="2269"/>
    </row>
    <row r="108" spans="2:17" s="747" customFormat="1">
      <c r="B108" s="2269"/>
      <c r="C108" s="2269"/>
      <c r="D108" s="2269"/>
      <c r="E108" s="2269"/>
      <c r="F108" s="2269"/>
      <c r="G108" s="2269"/>
      <c r="H108" s="2269"/>
      <c r="I108" s="2269"/>
      <c r="J108" s="2269"/>
      <c r="K108" s="2269"/>
      <c r="L108" s="2269"/>
      <c r="M108" s="2269"/>
      <c r="N108" s="2269"/>
      <c r="O108" s="2269"/>
      <c r="P108" s="2269"/>
      <c r="Q108" s="2269"/>
    </row>
    <row r="109" spans="2:17" s="747" customFormat="1">
      <c r="B109" s="2269"/>
      <c r="C109" s="2269"/>
      <c r="D109" s="2269"/>
      <c r="E109" s="2269"/>
      <c r="F109" s="2269"/>
      <c r="G109" s="2269"/>
      <c r="H109" s="2269"/>
      <c r="I109" s="2269"/>
      <c r="J109" s="2269"/>
      <c r="K109" s="2269"/>
      <c r="L109" s="2269"/>
      <c r="M109" s="2269"/>
      <c r="N109" s="2269"/>
      <c r="O109" s="2269"/>
      <c r="P109" s="2269"/>
      <c r="Q109" s="2269"/>
    </row>
    <row r="110" spans="2:17" s="747" customFormat="1">
      <c r="B110" s="2269"/>
      <c r="C110" s="2269"/>
      <c r="D110" s="2269"/>
      <c r="E110" s="2269"/>
      <c r="F110" s="2269"/>
      <c r="G110" s="2269"/>
      <c r="H110" s="2269"/>
      <c r="I110" s="2269"/>
      <c r="J110" s="2269"/>
      <c r="K110" s="2269"/>
      <c r="L110" s="2269"/>
      <c r="M110" s="2269"/>
      <c r="N110" s="2269"/>
      <c r="O110" s="2269"/>
      <c r="P110" s="2269"/>
      <c r="Q110" s="2269"/>
    </row>
    <row r="111" spans="2:17" s="747" customFormat="1">
      <c r="B111" s="2269"/>
      <c r="C111" s="2269"/>
      <c r="D111" s="2269"/>
      <c r="E111" s="2269"/>
      <c r="F111" s="2269"/>
      <c r="G111" s="2269"/>
      <c r="H111" s="2269"/>
      <c r="I111" s="2269"/>
      <c r="J111" s="2269"/>
      <c r="K111" s="2269"/>
      <c r="L111" s="2269"/>
      <c r="M111" s="2269"/>
      <c r="N111" s="2269"/>
      <c r="O111" s="2269"/>
      <c r="P111" s="2269"/>
      <c r="Q111" s="2269"/>
    </row>
    <row r="112" spans="2:17" s="747" customFormat="1">
      <c r="B112" s="2269"/>
      <c r="C112" s="2269"/>
      <c r="D112" s="2269"/>
      <c r="E112" s="2269"/>
      <c r="F112" s="2269"/>
      <c r="G112" s="2269"/>
      <c r="H112" s="2269"/>
      <c r="I112" s="2269"/>
      <c r="J112" s="2269"/>
      <c r="K112" s="2269"/>
      <c r="L112" s="2269"/>
      <c r="M112" s="2269"/>
      <c r="N112" s="2269"/>
      <c r="O112" s="2269"/>
      <c r="P112" s="2269"/>
      <c r="Q112" s="2269"/>
    </row>
    <row r="113" spans="2:17" s="747" customFormat="1">
      <c r="B113" s="2269"/>
      <c r="C113" s="2269"/>
      <c r="D113" s="2269"/>
      <c r="E113" s="2269"/>
      <c r="F113" s="2269"/>
      <c r="G113" s="2269"/>
      <c r="H113" s="2269"/>
      <c r="I113" s="2269"/>
      <c r="J113" s="2269"/>
      <c r="K113" s="2269"/>
      <c r="L113" s="2269"/>
      <c r="M113" s="2269"/>
      <c r="N113" s="2269"/>
      <c r="O113" s="2269"/>
      <c r="P113" s="2269"/>
      <c r="Q113" s="2269"/>
    </row>
    <row r="114" spans="2:17" s="747" customFormat="1">
      <c r="B114" s="2269"/>
      <c r="C114" s="2269"/>
      <c r="D114" s="2269"/>
      <c r="E114" s="2269"/>
      <c r="F114" s="2269"/>
      <c r="G114" s="2269"/>
      <c r="H114" s="2269"/>
      <c r="I114" s="2269"/>
      <c r="J114" s="2269"/>
      <c r="K114" s="2269"/>
      <c r="L114" s="2269"/>
      <c r="M114" s="2269"/>
      <c r="N114" s="2269"/>
      <c r="O114" s="2269"/>
      <c r="P114" s="2269"/>
      <c r="Q114" s="2269"/>
    </row>
    <row r="115" spans="2:17" s="747" customFormat="1">
      <c r="B115" s="2269"/>
      <c r="C115" s="2269"/>
      <c r="D115" s="2269"/>
      <c r="E115" s="2269"/>
      <c r="F115" s="2269"/>
      <c r="G115" s="2269"/>
      <c r="H115" s="2269"/>
      <c r="I115" s="2269"/>
      <c r="J115" s="2269"/>
      <c r="K115" s="2269"/>
      <c r="L115" s="2269"/>
      <c r="M115" s="2269"/>
      <c r="N115" s="2269"/>
      <c r="O115" s="2269"/>
      <c r="P115" s="2269"/>
      <c r="Q115" s="2269"/>
    </row>
    <row r="116" spans="2:17" s="747" customFormat="1">
      <c r="B116" s="2269"/>
      <c r="C116" s="2269"/>
      <c r="D116" s="2269"/>
      <c r="E116" s="2269"/>
      <c r="F116" s="2269"/>
      <c r="G116" s="2269"/>
      <c r="H116" s="2269"/>
      <c r="I116" s="2269"/>
      <c r="J116" s="2269"/>
      <c r="K116" s="2269"/>
      <c r="L116" s="2269"/>
      <c r="M116" s="2269"/>
      <c r="N116" s="2269"/>
      <c r="O116" s="2269"/>
      <c r="P116" s="2269"/>
      <c r="Q116" s="2269"/>
    </row>
    <row r="117" spans="2:17" s="747" customFormat="1">
      <c r="B117" s="2269"/>
      <c r="C117" s="2269"/>
      <c r="D117" s="2269"/>
      <c r="E117" s="2269"/>
      <c r="F117" s="2269"/>
      <c r="G117" s="2269"/>
      <c r="H117" s="2269"/>
      <c r="I117" s="2269"/>
      <c r="J117" s="2269"/>
      <c r="K117" s="2269"/>
      <c r="L117" s="2269"/>
      <c r="M117" s="2269"/>
      <c r="N117" s="2269"/>
      <c r="O117" s="2269"/>
      <c r="P117" s="2269"/>
      <c r="Q117" s="2269"/>
    </row>
    <row r="118" spans="2:17" s="747" customFormat="1">
      <c r="B118" s="2269"/>
      <c r="C118" s="2269"/>
      <c r="D118" s="2269"/>
      <c r="E118" s="2269"/>
      <c r="F118" s="2269"/>
      <c r="G118" s="2269"/>
      <c r="H118" s="2269"/>
      <c r="I118" s="2269"/>
      <c r="J118" s="2269"/>
      <c r="K118" s="2269"/>
      <c r="L118" s="2269"/>
      <c r="M118" s="2269"/>
      <c r="N118" s="2269"/>
      <c r="O118" s="2269"/>
      <c r="P118" s="2269"/>
      <c r="Q118" s="2269"/>
    </row>
    <row r="119" spans="2:17" s="747" customFormat="1">
      <c r="B119" s="2269"/>
      <c r="C119" s="2269"/>
      <c r="D119" s="2269"/>
      <c r="E119" s="2269"/>
      <c r="F119" s="2269"/>
      <c r="G119" s="2269"/>
      <c r="H119" s="2269"/>
      <c r="I119" s="2269"/>
      <c r="J119" s="2269"/>
      <c r="K119" s="2269"/>
      <c r="L119" s="2269"/>
      <c r="M119" s="2269"/>
      <c r="N119" s="2269"/>
      <c r="O119" s="2269"/>
      <c r="P119" s="2269"/>
      <c r="Q119" s="2269"/>
    </row>
    <row r="120" spans="2:17" s="747" customFormat="1">
      <c r="B120" s="2269"/>
      <c r="C120" s="2269"/>
      <c r="D120" s="2269"/>
      <c r="E120" s="2269"/>
      <c r="F120" s="2269"/>
      <c r="G120" s="2269"/>
      <c r="H120" s="2269"/>
      <c r="I120" s="2269"/>
      <c r="J120" s="2269"/>
      <c r="K120" s="2269"/>
      <c r="L120" s="2269"/>
      <c r="M120" s="2269"/>
      <c r="N120" s="2269"/>
      <c r="O120" s="2269"/>
      <c r="P120" s="2269"/>
      <c r="Q120" s="2269"/>
    </row>
    <row r="121" spans="2:17" s="747" customFormat="1">
      <c r="B121" s="2269"/>
      <c r="C121" s="2269"/>
      <c r="D121" s="2269"/>
      <c r="E121" s="2269"/>
      <c r="F121" s="2269"/>
      <c r="G121" s="2269"/>
      <c r="H121" s="2269"/>
      <c r="I121" s="2269"/>
      <c r="J121" s="2269"/>
      <c r="K121" s="2269"/>
      <c r="L121" s="2269"/>
      <c r="M121" s="2269"/>
      <c r="N121" s="2269"/>
      <c r="O121" s="2269"/>
      <c r="P121" s="2269"/>
      <c r="Q121" s="2269"/>
    </row>
    <row r="122" spans="2:17" s="747" customFormat="1">
      <c r="B122" s="2269"/>
      <c r="C122" s="2269"/>
      <c r="D122" s="2269"/>
      <c r="E122" s="2269"/>
      <c r="F122" s="2269"/>
      <c r="G122" s="2269"/>
      <c r="H122" s="2269"/>
      <c r="I122" s="2269"/>
      <c r="J122" s="2269"/>
      <c r="K122" s="2269"/>
      <c r="L122" s="2269"/>
      <c r="M122" s="2269"/>
      <c r="N122" s="2269"/>
      <c r="O122" s="2269"/>
      <c r="P122" s="2269"/>
      <c r="Q122" s="2269"/>
    </row>
    <row r="123" spans="2:17" s="747" customFormat="1">
      <c r="B123" s="2269"/>
      <c r="C123" s="2269"/>
      <c r="D123" s="2269"/>
      <c r="E123" s="2269"/>
      <c r="F123" s="2269"/>
      <c r="G123" s="2269"/>
      <c r="H123" s="2269"/>
      <c r="I123" s="2269"/>
      <c r="J123" s="2269"/>
      <c r="K123" s="2269"/>
      <c r="L123" s="2269"/>
      <c r="M123" s="2269"/>
      <c r="N123" s="2269"/>
      <c r="O123" s="2269"/>
      <c r="P123" s="2269"/>
      <c r="Q123" s="2269"/>
    </row>
    <row r="124" spans="2:17" s="747" customFormat="1">
      <c r="B124" s="2269"/>
      <c r="C124" s="2269"/>
      <c r="D124" s="2269"/>
      <c r="E124" s="2269"/>
      <c r="F124" s="2269"/>
      <c r="G124" s="2269"/>
      <c r="H124" s="2269"/>
      <c r="I124" s="2269"/>
      <c r="J124" s="2269"/>
      <c r="K124" s="2269"/>
      <c r="L124" s="2269"/>
      <c r="M124" s="2269"/>
      <c r="N124" s="2269"/>
      <c r="O124" s="2269"/>
      <c r="P124" s="2269"/>
      <c r="Q124" s="2269"/>
    </row>
    <row r="125" spans="2:17" s="747" customFormat="1">
      <c r="B125" s="2269"/>
      <c r="C125" s="2269"/>
      <c r="D125" s="2269"/>
      <c r="E125" s="2269"/>
      <c r="F125" s="2269"/>
      <c r="G125" s="2269"/>
      <c r="H125" s="2269"/>
      <c r="I125" s="2269"/>
      <c r="J125" s="2269"/>
      <c r="K125" s="2269"/>
      <c r="L125" s="2269"/>
      <c r="M125" s="2269"/>
      <c r="N125" s="2269"/>
      <c r="O125" s="2269"/>
      <c r="P125" s="2269"/>
      <c r="Q125" s="2269"/>
    </row>
    <row r="126" spans="2:17" s="747" customFormat="1">
      <c r="B126" s="2269"/>
      <c r="C126" s="2269"/>
      <c r="D126" s="2269"/>
      <c r="E126" s="2269"/>
      <c r="F126" s="2269"/>
      <c r="G126" s="2269"/>
      <c r="H126" s="2269"/>
      <c r="I126" s="2269"/>
      <c r="J126" s="2269"/>
      <c r="K126" s="2269"/>
      <c r="L126" s="2269"/>
      <c r="M126" s="2269"/>
      <c r="N126" s="2269"/>
      <c r="O126" s="2269"/>
      <c r="P126" s="2269"/>
      <c r="Q126" s="2269"/>
    </row>
    <row r="127" spans="2:17" s="747" customFormat="1">
      <c r="B127" s="2269"/>
      <c r="C127" s="2269"/>
      <c r="D127" s="2269"/>
      <c r="E127" s="2269"/>
      <c r="F127" s="2269"/>
      <c r="G127" s="2269"/>
      <c r="H127" s="2269"/>
      <c r="I127" s="2269"/>
      <c r="J127" s="2269"/>
      <c r="K127" s="2269"/>
      <c r="L127" s="2269"/>
      <c r="M127" s="2269"/>
      <c r="N127" s="2269"/>
      <c r="O127" s="2269"/>
      <c r="P127" s="2269"/>
      <c r="Q127" s="2269"/>
    </row>
    <row r="128" spans="2:17" s="747" customFormat="1">
      <c r="B128" s="2269"/>
      <c r="C128" s="2269"/>
      <c r="D128" s="2269"/>
      <c r="E128" s="2269"/>
      <c r="F128" s="2269"/>
      <c r="G128" s="2269"/>
      <c r="H128" s="2269"/>
      <c r="I128" s="2269"/>
      <c r="J128" s="2269"/>
      <c r="K128" s="2269"/>
      <c r="L128" s="2269"/>
      <c r="M128" s="2269"/>
      <c r="N128" s="2269"/>
      <c r="O128" s="2269"/>
      <c r="P128" s="2269"/>
      <c r="Q128" s="2269"/>
    </row>
    <row r="129" spans="2:17" s="747" customFormat="1">
      <c r="B129" s="2269"/>
      <c r="C129" s="2269"/>
      <c r="D129" s="2269"/>
      <c r="E129" s="2269"/>
      <c r="F129" s="2269"/>
      <c r="G129" s="2269"/>
      <c r="H129" s="2269"/>
      <c r="I129" s="2269"/>
      <c r="J129" s="2269"/>
      <c r="K129" s="2269"/>
      <c r="L129" s="2269"/>
      <c r="M129" s="2269"/>
      <c r="N129" s="2269"/>
      <c r="O129" s="2269"/>
      <c r="P129" s="2269"/>
      <c r="Q129" s="2269"/>
    </row>
    <row r="130" spans="2:17" s="747" customFormat="1">
      <c r="B130" s="2269"/>
      <c r="C130" s="2269"/>
      <c r="D130" s="2269"/>
      <c r="E130" s="2269"/>
      <c r="F130" s="2269"/>
      <c r="G130" s="2269"/>
      <c r="H130" s="2269"/>
      <c r="I130" s="2269"/>
      <c r="J130" s="2269"/>
      <c r="K130" s="2269"/>
      <c r="L130" s="2269"/>
      <c r="M130" s="2269"/>
      <c r="N130" s="2269"/>
      <c r="O130" s="2269"/>
      <c r="P130" s="2269"/>
      <c r="Q130" s="2269"/>
    </row>
    <row r="131" spans="2:17" s="747" customFormat="1">
      <c r="B131" s="2269"/>
      <c r="C131" s="2269"/>
      <c r="D131" s="2269"/>
      <c r="E131" s="2269"/>
      <c r="F131" s="2269"/>
      <c r="G131" s="2269"/>
      <c r="H131" s="2269"/>
      <c r="I131" s="2269"/>
      <c r="J131" s="2269"/>
      <c r="K131" s="2269"/>
      <c r="L131" s="2269"/>
      <c r="M131" s="2269"/>
      <c r="N131" s="2269"/>
      <c r="O131" s="2269"/>
      <c r="P131" s="2269"/>
      <c r="Q131" s="2269"/>
    </row>
    <row r="132" spans="2:17" s="747" customFormat="1">
      <c r="B132" s="2269"/>
      <c r="C132" s="2269"/>
      <c r="D132" s="2269"/>
      <c r="E132" s="2269"/>
      <c r="F132" s="2269"/>
      <c r="G132" s="2269"/>
      <c r="H132" s="2269"/>
      <c r="I132" s="2269"/>
      <c r="J132" s="2269"/>
      <c r="K132" s="2269"/>
      <c r="L132" s="2269"/>
      <c r="M132" s="2269"/>
      <c r="N132" s="2269"/>
      <c r="O132" s="2269"/>
      <c r="P132" s="2269"/>
      <c r="Q132" s="2269"/>
    </row>
    <row r="133" spans="2:17" s="747" customFormat="1">
      <c r="B133" s="2269"/>
      <c r="C133" s="2269"/>
      <c r="D133" s="2269"/>
      <c r="E133" s="2269"/>
      <c r="F133" s="2269"/>
      <c r="G133" s="2269"/>
      <c r="H133" s="2269"/>
      <c r="I133" s="2269"/>
      <c r="J133" s="2269"/>
      <c r="K133" s="2269"/>
      <c r="L133" s="2269"/>
      <c r="M133" s="2269"/>
      <c r="N133" s="2269"/>
      <c r="O133" s="2269"/>
      <c r="P133" s="2269"/>
      <c r="Q133" s="2269"/>
    </row>
    <row r="134" spans="2:17" s="747" customFormat="1">
      <c r="B134" s="2269"/>
      <c r="C134" s="2269"/>
      <c r="D134" s="2269"/>
      <c r="E134" s="2269"/>
      <c r="F134" s="2269"/>
      <c r="G134" s="2269"/>
      <c r="H134" s="2269"/>
      <c r="I134" s="2269"/>
      <c r="J134" s="2269"/>
      <c r="K134" s="2269"/>
      <c r="L134" s="2269"/>
      <c r="M134" s="2269"/>
      <c r="N134" s="2269"/>
      <c r="O134" s="2269"/>
      <c r="P134" s="2269"/>
      <c r="Q134" s="2269"/>
    </row>
    <row r="135" spans="2:17" s="747" customFormat="1">
      <c r="B135" s="2269"/>
      <c r="C135" s="2269"/>
      <c r="D135" s="2269"/>
      <c r="E135" s="2269"/>
      <c r="F135" s="2269"/>
      <c r="G135" s="2269"/>
      <c r="H135" s="2269"/>
      <c r="I135" s="2269"/>
      <c r="J135" s="2269"/>
      <c r="K135" s="2269"/>
      <c r="L135" s="2269"/>
      <c r="M135" s="2269"/>
      <c r="N135" s="2269"/>
      <c r="O135" s="2269"/>
      <c r="P135" s="2269"/>
      <c r="Q135" s="2269"/>
    </row>
    <row r="136" spans="2:17" s="747" customFormat="1">
      <c r="B136" s="2269"/>
      <c r="C136" s="2269"/>
      <c r="D136" s="2269"/>
      <c r="E136" s="2269"/>
      <c r="F136" s="2269"/>
      <c r="G136" s="2269"/>
      <c r="H136" s="2269"/>
      <c r="I136" s="2269"/>
      <c r="J136" s="2269"/>
      <c r="K136" s="2269"/>
      <c r="L136" s="2269"/>
      <c r="M136" s="2269"/>
      <c r="N136" s="2269"/>
      <c r="O136" s="2269"/>
      <c r="P136" s="2269"/>
      <c r="Q136" s="2269"/>
    </row>
    <row r="137" spans="2:17" s="747" customFormat="1">
      <c r="B137" s="2269"/>
      <c r="C137" s="2269"/>
      <c r="D137" s="2269"/>
      <c r="E137" s="2269"/>
      <c r="F137" s="2269"/>
      <c r="G137" s="2269"/>
      <c r="H137" s="2269"/>
      <c r="I137" s="2269"/>
      <c r="J137" s="2269"/>
      <c r="K137" s="2269"/>
      <c r="L137" s="2269"/>
      <c r="M137" s="2269"/>
      <c r="N137" s="2269"/>
      <c r="O137" s="2269"/>
      <c r="P137" s="2269"/>
      <c r="Q137" s="2269"/>
    </row>
    <row r="138" spans="2:17" s="747" customFormat="1">
      <c r="B138" s="2269"/>
      <c r="C138" s="2269"/>
      <c r="D138" s="2269"/>
      <c r="E138" s="2269"/>
      <c r="F138" s="2269"/>
      <c r="G138" s="2269"/>
      <c r="H138" s="2269"/>
      <c r="I138" s="2269"/>
      <c r="J138" s="2269"/>
      <c r="K138" s="2269"/>
      <c r="L138" s="2269"/>
      <c r="M138" s="2269"/>
      <c r="N138" s="2269"/>
      <c r="O138" s="2269"/>
      <c r="P138" s="2269"/>
      <c r="Q138" s="2269"/>
    </row>
    <row r="139" spans="2:17" s="747" customFormat="1">
      <c r="B139" s="2269"/>
      <c r="C139" s="2269"/>
      <c r="D139" s="2269"/>
      <c r="E139" s="2269"/>
      <c r="F139" s="2269"/>
      <c r="G139" s="2269"/>
      <c r="H139" s="2269"/>
      <c r="I139" s="2269"/>
      <c r="J139" s="2269"/>
      <c r="K139" s="2269"/>
      <c r="L139" s="2269"/>
      <c r="M139" s="2269"/>
      <c r="N139" s="2269"/>
      <c r="O139" s="2269"/>
      <c r="P139" s="2269"/>
      <c r="Q139" s="2269"/>
    </row>
    <row r="140" spans="2:17" s="747" customFormat="1">
      <c r="B140" s="2269"/>
      <c r="C140" s="2269"/>
      <c r="D140" s="2269"/>
      <c r="E140" s="2269"/>
      <c r="F140" s="2269"/>
      <c r="G140" s="2269"/>
      <c r="H140" s="2269"/>
      <c r="I140" s="2269"/>
      <c r="J140" s="2269"/>
      <c r="K140" s="2269"/>
      <c r="L140" s="2269"/>
      <c r="M140" s="2269"/>
      <c r="N140" s="2269"/>
      <c r="O140" s="2269"/>
      <c r="P140" s="2269"/>
      <c r="Q140" s="2269"/>
    </row>
    <row r="141" spans="2:17" s="747" customFormat="1">
      <c r="B141" s="2269"/>
      <c r="C141" s="2269"/>
      <c r="D141" s="2269"/>
      <c r="E141" s="2269"/>
      <c r="F141" s="2269"/>
      <c r="G141" s="2269"/>
      <c r="H141" s="2269"/>
      <c r="I141" s="2269"/>
      <c r="J141" s="2269"/>
      <c r="K141" s="2269"/>
      <c r="L141" s="2269"/>
      <c r="M141" s="2269"/>
      <c r="N141" s="2269"/>
      <c r="O141" s="2269"/>
      <c r="P141" s="2269"/>
      <c r="Q141" s="2269"/>
    </row>
    <row r="142" spans="2:17" s="747" customFormat="1">
      <c r="B142" s="2269"/>
      <c r="C142" s="2269"/>
      <c r="D142" s="2269"/>
      <c r="E142" s="2269"/>
      <c r="F142" s="2269"/>
      <c r="G142" s="2269"/>
      <c r="H142" s="2269"/>
      <c r="I142" s="2269"/>
      <c r="J142" s="2269"/>
      <c r="K142" s="2269"/>
      <c r="L142" s="2269"/>
      <c r="M142" s="2269"/>
      <c r="N142" s="2269"/>
      <c r="O142" s="2269"/>
      <c r="P142" s="2269"/>
      <c r="Q142" s="2269"/>
    </row>
    <row r="143" spans="2:17" s="747" customFormat="1">
      <c r="B143" s="2269"/>
      <c r="C143" s="2269"/>
      <c r="D143" s="2269"/>
      <c r="E143" s="2269"/>
      <c r="F143" s="2269"/>
      <c r="G143" s="2269"/>
      <c r="H143" s="2269"/>
      <c r="I143" s="2269"/>
      <c r="J143" s="2269"/>
      <c r="K143" s="2269"/>
      <c r="L143" s="2269"/>
      <c r="M143" s="2269"/>
      <c r="N143" s="2269"/>
      <c r="O143" s="2269"/>
      <c r="P143" s="2269"/>
      <c r="Q143" s="2269"/>
    </row>
    <row r="144" spans="2:17" s="747" customFormat="1">
      <c r="B144" s="2269"/>
      <c r="C144" s="2269"/>
      <c r="D144" s="2269"/>
      <c r="E144" s="2269"/>
      <c r="F144" s="2269"/>
      <c r="G144" s="2269"/>
      <c r="H144" s="2269"/>
      <c r="I144" s="2269"/>
      <c r="J144" s="2269"/>
      <c r="K144" s="2269"/>
      <c r="L144" s="2269"/>
      <c r="M144" s="2269"/>
      <c r="N144" s="2269"/>
      <c r="O144" s="2269"/>
      <c r="P144" s="2269"/>
      <c r="Q144" s="2269"/>
    </row>
    <row r="145" spans="2:17" s="747" customFormat="1">
      <c r="B145" s="2269"/>
      <c r="C145" s="2269"/>
      <c r="D145" s="2269"/>
      <c r="E145" s="2269"/>
      <c r="F145" s="2269"/>
      <c r="G145" s="2269"/>
      <c r="H145" s="2269"/>
      <c r="I145" s="2269"/>
      <c r="J145" s="2269"/>
      <c r="K145" s="2269"/>
      <c r="L145" s="2269"/>
      <c r="M145" s="2269"/>
      <c r="N145" s="2269"/>
      <c r="O145" s="2269"/>
      <c r="P145" s="2269"/>
      <c r="Q145" s="2269"/>
    </row>
    <row r="146" spans="2:17" s="747" customFormat="1">
      <c r="B146" s="2269"/>
      <c r="C146" s="2269"/>
      <c r="D146" s="2269"/>
      <c r="E146" s="2269"/>
      <c r="F146" s="2269"/>
      <c r="G146" s="2269"/>
      <c r="H146" s="2269"/>
      <c r="I146" s="2269"/>
      <c r="J146" s="2269"/>
      <c r="K146" s="2269"/>
      <c r="L146" s="2269"/>
      <c r="M146" s="2269"/>
      <c r="N146" s="2269"/>
      <c r="O146" s="2269"/>
      <c r="P146" s="2269"/>
      <c r="Q146" s="2269"/>
    </row>
    <row r="147" spans="2:17" s="747" customFormat="1">
      <c r="B147" s="2269"/>
      <c r="C147" s="2269"/>
      <c r="D147" s="2269"/>
      <c r="E147" s="2269"/>
      <c r="F147" s="2269"/>
      <c r="G147" s="2269"/>
      <c r="H147" s="2269"/>
      <c r="I147" s="2269"/>
      <c r="J147" s="2269"/>
      <c r="K147" s="2269"/>
      <c r="L147" s="2269"/>
      <c r="M147" s="2269"/>
      <c r="N147" s="2269"/>
      <c r="O147" s="2269"/>
      <c r="P147" s="2269"/>
      <c r="Q147" s="2269"/>
    </row>
    <row r="148" spans="2:17" s="747" customFormat="1">
      <c r="B148" s="2269"/>
      <c r="C148" s="2269"/>
      <c r="D148" s="2269"/>
      <c r="E148" s="2269"/>
      <c r="F148" s="2269"/>
      <c r="G148" s="2269"/>
      <c r="H148" s="2269"/>
      <c r="I148" s="2269"/>
      <c r="J148" s="2269"/>
      <c r="K148" s="2269"/>
      <c r="L148" s="2269"/>
      <c r="M148" s="2269"/>
      <c r="N148" s="2269"/>
      <c r="O148" s="2269"/>
      <c r="P148" s="2269"/>
      <c r="Q148" s="2269"/>
    </row>
    <row r="149" spans="2:17" s="747" customFormat="1">
      <c r="B149" s="2269"/>
      <c r="C149" s="2269"/>
      <c r="D149" s="2269"/>
      <c r="E149" s="2269"/>
      <c r="F149" s="2269"/>
      <c r="G149" s="2269"/>
      <c r="H149" s="2269"/>
      <c r="I149" s="2269"/>
      <c r="J149" s="2269"/>
      <c r="K149" s="2269"/>
      <c r="L149" s="2269"/>
      <c r="M149" s="2269"/>
      <c r="N149" s="2269"/>
      <c r="O149" s="2269"/>
      <c r="P149" s="2269"/>
      <c r="Q149" s="2269"/>
    </row>
    <row r="150" spans="2:17" s="747" customFormat="1">
      <c r="B150" s="2269"/>
      <c r="C150" s="2269"/>
      <c r="D150" s="2269"/>
      <c r="E150" s="2269"/>
      <c r="F150" s="2269"/>
      <c r="G150" s="2269"/>
      <c r="H150" s="2269"/>
      <c r="I150" s="2269"/>
      <c r="J150" s="2269"/>
      <c r="K150" s="2269"/>
      <c r="L150" s="2269"/>
      <c r="M150" s="2269"/>
      <c r="N150" s="2269"/>
      <c r="O150" s="2269"/>
      <c r="P150" s="2269"/>
      <c r="Q150" s="2269"/>
    </row>
    <row r="151" spans="2:17" s="747" customFormat="1">
      <c r="B151" s="2269"/>
      <c r="C151" s="2269"/>
      <c r="D151" s="2269"/>
      <c r="E151" s="2269"/>
      <c r="F151" s="2269"/>
      <c r="G151" s="2269"/>
      <c r="H151" s="2269"/>
      <c r="I151" s="2269"/>
      <c r="J151" s="2269"/>
      <c r="K151" s="2269"/>
      <c r="L151" s="2269"/>
      <c r="M151" s="2269"/>
      <c r="N151" s="2269"/>
      <c r="O151" s="2269"/>
      <c r="P151" s="2269"/>
      <c r="Q151" s="2269"/>
    </row>
    <row r="152" spans="2:17" s="747" customFormat="1">
      <c r="B152" s="2269"/>
      <c r="C152" s="2269"/>
      <c r="D152" s="2269"/>
      <c r="E152" s="2269"/>
      <c r="F152" s="2269"/>
      <c r="G152" s="2269"/>
      <c r="H152" s="2269"/>
      <c r="I152" s="2269"/>
      <c r="J152" s="2269"/>
      <c r="K152" s="2269"/>
      <c r="L152" s="2269"/>
      <c r="M152" s="2269"/>
      <c r="N152" s="2269"/>
      <c r="O152" s="2269"/>
      <c r="P152" s="2269"/>
      <c r="Q152" s="2269"/>
    </row>
    <row r="153" spans="2:17" s="747" customFormat="1">
      <c r="B153" s="2269"/>
      <c r="C153" s="2269"/>
      <c r="D153" s="2269"/>
      <c r="E153" s="2269"/>
      <c r="F153" s="2269"/>
      <c r="G153" s="2269"/>
      <c r="H153" s="2269"/>
      <c r="I153" s="2269"/>
      <c r="J153" s="2269"/>
      <c r="K153" s="2269"/>
      <c r="L153" s="2269"/>
      <c r="M153" s="2269"/>
      <c r="N153" s="2269"/>
      <c r="O153" s="2269"/>
      <c r="P153" s="2269"/>
      <c r="Q153" s="2269"/>
    </row>
    <row r="154" spans="2:17" s="747" customFormat="1">
      <c r="B154" s="2269"/>
      <c r="C154" s="2269"/>
      <c r="D154" s="2269"/>
      <c r="E154" s="2269"/>
      <c r="F154" s="2269"/>
      <c r="G154" s="2269"/>
      <c r="H154" s="2269"/>
      <c r="I154" s="2269"/>
      <c r="J154" s="2269"/>
      <c r="K154" s="2269"/>
      <c r="L154" s="2269"/>
      <c r="M154" s="2269"/>
      <c r="N154" s="2269"/>
      <c r="O154" s="2269"/>
      <c r="P154" s="2269"/>
      <c r="Q154" s="2269"/>
    </row>
    <row r="155" spans="2:17" s="747" customFormat="1">
      <c r="B155" s="2269"/>
      <c r="C155" s="2269"/>
      <c r="D155" s="2269"/>
      <c r="E155" s="2269"/>
      <c r="F155" s="2269"/>
      <c r="G155" s="2269"/>
      <c r="H155" s="2269"/>
      <c r="I155" s="2269"/>
      <c r="J155" s="2269"/>
      <c r="K155" s="2269"/>
      <c r="L155" s="2269"/>
      <c r="M155" s="2269"/>
      <c r="N155" s="2269"/>
      <c r="O155" s="2269"/>
      <c r="P155" s="2269"/>
      <c r="Q155" s="2269"/>
    </row>
    <row r="156" spans="2:17" s="747" customFormat="1">
      <c r="B156" s="2269"/>
      <c r="C156" s="2269"/>
      <c r="D156" s="2269"/>
      <c r="E156" s="2269"/>
      <c r="F156" s="2269"/>
      <c r="G156" s="2269"/>
      <c r="H156" s="2269"/>
      <c r="I156" s="2269"/>
      <c r="J156" s="2269"/>
      <c r="K156" s="2269"/>
      <c r="L156" s="2269"/>
      <c r="M156" s="2269"/>
      <c r="N156" s="2269"/>
      <c r="O156" s="2269"/>
      <c r="P156" s="2269"/>
      <c r="Q156" s="2269"/>
    </row>
    <row r="157" spans="2:17" s="747" customFormat="1">
      <c r="B157" s="2269"/>
      <c r="C157" s="2269"/>
      <c r="D157" s="2269"/>
      <c r="E157" s="2269"/>
      <c r="F157" s="2269"/>
      <c r="G157" s="2269"/>
      <c r="H157" s="2269"/>
      <c r="I157" s="2269"/>
      <c r="J157" s="2269"/>
      <c r="K157" s="2269"/>
      <c r="L157" s="2269"/>
      <c r="M157" s="2269"/>
      <c r="N157" s="2269"/>
      <c r="O157" s="2269"/>
      <c r="P157" s="2269"/>
      <c r="Q157" s="2269"/>
    </row>
    <row r="158" spans="2:17" s="747" customFormat="1">
      <c r="B158" s="2269"/>
      <c r="C158" s="2269"/>
      <c r="D158" s="2269"/>
      <c r="E158" s="2269"/>
      <c r="F158" s="2269"/>
      <c r="G158" s="2269"/>
      <c r="H158" s="2269"/>
      <c r="I158" s="2269"/>
      <c r="J158" s="2269"/>
      <c r="K158" s="2269"/>
      <c r="L158" s="2269"/>
      <c r="M158" s="2269"/>
      <c r="N158" s="2269"/>
      <c r="O158" s="2269"/>
      <c r="P158" s="2269"/>
      <c r="Q158" s="2269"/>
    </row>
    <row r="159" spans="2:17" s="747" customFormat="1">
      <c r="B159" s="2269"/>
      <c r="C159" s="2269"/>
      <c r="D159" s="2269"/>
      <c r="E159" s="2269"/>
      <c r="F159" s="2269"/>
      <c r="G159" s="2269"/>
      <c r="H159" s="2269"/>
      <c r="I159" s="2269"/>
      <c r="J159" s="2269"/>
      <c r="K159" s="2269"/>
      <c r="L159" s="2269"/>
      <c r="M159" s="2269"/>
      <c r="N159" s="2269"/>
      <c r="O159" s="2269"/>
      <c r="P159" s="2269"/>
      <c r="Q159" s="2269"/>
    </row>
    <row r="160" spans="2:17" s="747" customFormat="1">
      <c r="B160" s="2269"/>
      <c r="C160" s="2269"/>
      <c r="D160" s="2269"/>
      <c r="E160" s="2269"/>
      <c r="F160" s="2269"/>
      <c r="G160" s="2269"/>
      <c r="H160" s="2269"/>
      <c r="I160" s="2269"/>
      <c r="J160" s="2269"/>
      <c r="K160" s="2269"/>
      <c r="L160" s="2269"/>
      <c r="M160" s="2269"/>
      <c r="N160" s="2269"/>
      <c r="O160" s="2269"/>
      <c r="P160" s="2269"/>
      <c r="Q160" s="2269"/>
    </row>
    <row r="161" spans="2:17" s="747" customFormat="1">
      <c r="B161" s="2269"/>
      <c r="C161" s="2269"/>
      <c r="D161" s="2269"/>
      <c r="E161" s="2269"/>
      <c r="F161" s="2269"/>
      <c r="G161" s="2269"/>
      <c r="H161" s="2269"/>
      <c r="I161" s="2269"/>
      <c r="J161" s="2269"/>
      <c r="K161" s="2269"/>
      <c r="L161" s="2269"/>
      <c r="M161" s="2269"/>
      <c r="N161" s="2269"/>
      <c r="O161" s="2269"/>
      <c r="P161" s="2269"/>
      <c r="Q161" s="2269"/>
    </row>
    <row r="162" spans="2:17" s="747" customFormat="1">
      <c r="B162" s="2269"/>
      <c r="C162" s="2269"/>
      <c r="D162" s="2269"/>
      <c r="E162" s="2269"/>
      <c r="F162" s="2269"/>
      <c r="G162" s="2269"/>
      <c r="H162" s="2269"/>
      <c r="I162" s="2269"/>
      <c r="J162" s="2269"/>
      <c r="K162" s="2269"/>
      <c r="L162" s="2269"/>
      <c r="M162" s="2269"/>
      <c r="N162" s="2269"/>
      <c r="O162" s="2269"/>
      <c r="P162" s="2269"/>
      <c r="Q162" s="2269"/>
    </row>
    <row r="163" spans="2:17" s="747" customFormat="1">
      <c r="B163" s="2269"/>
      <c r="C163" s="2269"/>
      <c r="D163" s="2269"/>
      <c r="E163" s="2269"/>
      <c r="F163" s="2269"/>
      <c r="G163" s="2269"/>
      <c r="H163" s="2269"/>
      <c r="I163" s="2269"/>
      <c r="J163" s="2269"/>
      <c r="K163" s="2269"/>
      <c r="L163" s="2269"/>
      <c r="M163" s="2269"/>
      <c r="N163" s="2269"/>
      <c r="O163" s="2269"/>
      <c r="P163" s="2269"/>
      <c r="Q163" s="2269"/>
    </row>
    <row r="164" spans="2:17" s="747" customFormat="1">
      <c r="B164" s="2269"/>
      <c r="C164" s="2269"/>
      <c r="D164" s="2269"/>
      <c r="E164" s="2269"/>
      <c r="F164" s="2269"/>
      <c r="G164" s="2269"/>
      <c r="H164" s="2269"/>
      <c r="I164" s="2269"/>
      <c r="J164" s="2269"/>
      <c r="K164" s="2269"/>
      <c r="L164" s="2269"/>
      <c r="M164" s="2269"/>
      <c r="N164" s="2269"/>
      <c r="O164" s="2269"/>
      <c r="P164" s="2269"/>
      <c r="Q164" s="2269"/>
    </row>
    <row r="165" spans="2:17" s="747" customFormat="1">
      <c r="B165" s="2269"/>
      <c r="C165" s="2269"/>
      <c r="D165" s="2269"/>
      <c r="E165" s="2269"/>
      <c r="F165" s="2269"/>
      <c r="G165" s="2269"/>
      <c r="H165" s="2269"/>
      <c r="I165" s="2269"/>
      <c r="J165" s="2269"/>
      <c r="K165" s="2269"/>
      <c r="L165" s="2269"/>
      <c r="M165" s="2269"/>
      <c r="N165" s="2269"/>
      <c r="O165" s="2269"/>
      <c r="P165" s="2269"/>
      <c r="Q165" s="2269"/>
    </row>
    <row r="166" spans="2:17" s="747" customFormat="1">
      <c r="B166" s="2269"/>
      <c r="C166" s="2269"/>
      <c r="D166" s="2269"/>
      <c r="E166" s="2269"/>
      <c r="F166" s="2269"/>
      <c r="G166" s="2269"/>
      <c r="H166" s="2269"/>
      <c r="I166" s="2269"/>
      <c r="J166" s="2269"/>
      <c r="K166" s="2269"/>
      <c r="L166" s="2269"/>
      <c r="M166" s="2269"/>
      <c r="N166" s="2269"/>
      <c r="O166" s="2269"/>
      <c r="P166" s="2269"/>
      <c r="Q166" s="2269"/>
    </row>
    <row r="167" spans="2:17" s="747" customFormat="1">
      <c r="B167" s="2269"/>
      <c r="C167" s="2269"/>
      <c r="D167" s="2269"/>
      <c r="E167" s="2269"/>
      <c r="F167" s="2269"/>
      <c r="G167" s="2269"/>
      <c r="H167" s="2269"/>
      <c r="I167" s="2269"/>
      <c r="J167" s="2269"/>
      <c r="K167" s="2269"/>
      <c r="L167" s="2269"/>
      <c r="M167" s="2269"/>
      <c r="N167" s="2269"/>
      <c r="O167" s="2269"/>
      <c r="P167" s="2269"/>
      <c r="Q167" s="2269"/>
    </row>
    <row r="168" spans="2:17" s="747" customFormat="1">
      <c r="B168" s="2269"/>
      <c r="C168" s="2269"/>
      <c r="D168" s="2269"/>
      <c r="E168" s="2269"/>
      <c r="F168" s="2269"/>
      <c r="G168" s="2269"/>
      <c r="H168" s="2269"/>
      <c r="I168" s="2269"/>
      <c r="J168" s="2269"/>
      <c r="K168" s="2269"/>
      <c r="L168" s="2269"/>
      <c r="M168" s="2269"/>
      <c r="N168" s="2269"/>
      <c r="O168" s="2269"/>
      <c r="P168" s="2269"/>
      <c r="Q168" s="2269"/>
    </row>
    <row r="169" spans="2:17" s="747" customFormat="1">
      <c r="B169" s="2269"/>
      <c r="C169" s="2269"/>
      <c r="D169" s="2269"/>
      <c r="E169" s="2269"/>
      <c r="F169" s="2269"/>
      <c r="G169" s="2269"/>
      <c r="H169" s="2269"/>
      <c r="I169" s="2269"/>
      <c r="J169" s="2269"/>
      <c r="K169" s="2269"/>
      <c r="L169" s="2269"/>
      <c r="M169" s="2269"/>
      <c r="N169" s="2269"/>
      <c r="O169" s="2269"/>
      <c r="P169" s="2269"/>
      <c r="Q169" s="2269"/>
    </row>
    <row r="170" spans="2:17" s="747" customFormat="1">
      <c r="B170" s="2269"/>
      <c r="C170" s="2269"/>
      <c r="D170" s="2269"/>
      <c r="E170" s="2269"/>
      <c r="F170" s="2269"/>
      <c r="G170" s="2269"/>
      <c r="H170" s="2269"/>
      <c r="I170" s="2269"/>
      <c r="J170" s="2269"/>
      <c r="K170" s="2269"/>
      <c r="L170" s="2269"/>
      <c r="M170" s="2269"/>
      <c r="N170" s="2269"/>
      <c r="O170" s="2269"/>
      <c r="P170" s="2269"/>
      <c r="Q170" s="2269"/>
    </row>
    <row r="171" spans="2:17" s="747" customFormat="1">
      <c r="B171" s="2269"/>
      <c r="C171" s="2269"/>
      <c r="D171" s="2269"/>
      <c r="E171" s="2269"/>
      <c r="F171" s="2269"/>
      <c r="G171" s="2269"/>
      <c r="H171" s="2269"/>
      <c r="I171" s="2269"/>
      <c r="J171" s="2269"/>
      <c r="K171" s="2269"/>
      <c r="L171" s="2269"/>
      <c r="M171" s="2269"/>
      <c r="N171" s="2269"/>
      <c r="O171" s="2269"/>
      <c r="P171" s="2269"/>
      <c r="Q171" s="2269"/>
    </row>
    <row r="172" spans="2:17" s="747" customFormat="1">
      <c r="B172" s="2269"/>
      <c r="C172" s="2269"/>
      <c r="D172" s="2269"/>
      <c r="E172" s="2269"/>
      <c r="F172" s="2269"/>
      <c r="G172" s="2269"/>
      <c r="H172" s="2269"/>
      <c r="I172" s="2269"/>
      <c r="J172" s="2269"/>
      <c r="K172" s="2269"/>
      <c r="L172" s="2269"/>
      <c r="M172" s="2269"/>
      <c r="N172" s="2269"/>
      <c r="O172" s="2269"/>
      <c r="P172" s="2269"/>
      <c r="Q172" s="2269"/>
    </row>
    <row r="173" spans="2:17" s="747" customFormat="1">
      <c r="B173" s="2269"/>
      <c r="C173" s="2269"/>
      <c r="D173" s="2269"/>
      <c r="E173" s="2269"/>
      <c r="F173" s="2269"/>
      <c r="G173" s="2269"/>
      <c r="H173" s="2269"/>
      <c r="I173" s="2269"/>
      <c r="J173" s="2269"/>
      <c r="K173" s="2269"/>
      <c r="L173" s="2269"/>
      <c r="M173" s="2269"/>
      <c r="N173" s="2269"/>
      <c r="O173" s="2269"/>
      <c r="P173" s="2269"/>
      <c r="Q173" s="2269"/>
    </row>
    <row r="174" spans="2:17" s="747" customFormat="1">
      <c r="B174" s="2269"/>
      <c r="C174" s="2269"/>
      <c r="D174" s="2269"/>
      <c r="E174" s="2269"/>
      <c r="F174" s="2269"/>
      <c r="G174" s="2269"/>
      <c r="H174" s="2269"/>
      <c r="I174" s="2269"/>
      <c r="J174" s="2269"/>
      <c r="K174" s="2269"/>
      <c r="L174" s="2269"/>
      <c r="M174" s="2269"/>
      <c r="N174" s="2269"/>
      <c r="O174" s="2269"/>
      <c r="P174" s="2269"/>
      <c r="Q174" s="2269"/>
    </row>
    <row r="175" spans="2:17" s="747" customFormat="1">
      <c r="B175" s="2269"/>
      <c r="C175" s="2269"/>
      <c r="D175" s="2269"/>
      <c r="E175" s="2269"/>
      <c r="F175" s="2269"/>
      <c r="G175" s="2269"/>
      <c r="H175" s="2269"/>
      <c r="I175" s="2269"/>
      <c r="J175" s="2269"/>
      <c r="K175" s="2269"/>
      <c r="L175" s="2269"/>
      <c r="M175" s="2269"/>
      <c r="N175" s="2269"/>
      <c r="O175" s="2269"/>
      <c r="P175" s="2269"/>
      <c r="Q175" s="2269"/>
    </row>
    <row r="176" spans="2:17" s="747" customFormat="1">
      <c r="B176" s="2269"/>
      <c r="C176" s="2269"/>
      <c r="D176" s="2269"/>
      <c r="E176" s="2269"/>
      <c r="F176" s="2269"/>
      <c r="G176" s="2269"/>
      <c r="H176" s="2269"/>
      <c r="I176" s="2269"/>
      <c r="J176" s="2269"/>
      <c r="K176" s="2269"/>
      <c r="L176" s="2269"/>
      <c r="M176" s="2269"/>
      <c r="N176" s="2269"/>
      <c r="O176" s="2269"/>
      <c r="P176" s="2269"/>
      <c r="Q176" s="2269"/>
    </row>
    <row r="177" spans="1:17" s="747" customFormat="1">
      <c r="B177" s="2269"/>
      <c r="C177" s="2269"/>
      <c r="D177" s="2269"/>
      <c r="E177" s="2269"/>
      <c r="F177" s="2269"/>
      <c r="G177" s="2269"/>
      <c r="H177" s="2269"/>
      <c r="I177" s="2269"/>
      <c r="J177" s="2269"/>
      <c r="K177" s="2269"/>
      <c r="L177" s="2269"/>
      <c r="M177" s="2269"/>
      <c r="N177" s="2269"/>
      <c r="O177" s="2269"/>
      <c r="P177" s="2269"/>
      <c r="Q177" s="2269"/>
    </row>
    <row r="178" spans="1:17" s="747" customFormat="1">
      <c r="B178" s="2269"/>
      <c r="C178" s="2269"/>
      <c r="D178" s="2269"/>
      <c r="E178" s="2269"/>
      <c r="F178" s="2269"/>
      <c r="G178" s="2269"/>
      <c r="H178" s="2269"/>
      <c r="I178" s="2269"/>
      <c r="J178" s="2269"/>
      <c r="K178" s="2269"/>
      <c r="L178" s="2269"/>
      <c r="M178" s="2269"/>
      <c r="N178" s="2269"/>
      <c r="O178" s="2269"/>
      <c r="P178" s="2269"/>
      <c r="Q178" s="2269"/>
    </row>
    <row r="179" spans="1:17" s="747" customFormat="1">
      <c r="B179" s="2269"/>
      <c r="C179" s="2269"/>
      <c r="D179" s="2269"/>
      <c r="E179" s="2269"/>
      <c r="F179" s="2269"/>
      <c r="G179" s="2269"/>
      <c r="H179" s="2269"/>
      <c r="I179" s="2269"/>
      <c r="J179" s="2269"/>
      <c r="K179" s="2269"/>
      <c r="L179" s="2269"/>
      <c r="M179" s="2269"/>
      <c r="N179" s="2269"/>
      <c r="O179" s="2269"/>
      <c r="P179" s="2269"/>
      <c r="Q179" s="2269"/>
    </row>
    <row r="180" spans="1:17" s="747" customFormat="1">
      <c r="B180" s="2269"/>
      <c r="C180" s="2269"/>
      <c r="D180" s="2269"/>
      <c r="E180" s="2269"/>
      <c r="F180" s="2269"/>
      <c r="G180" s="2269"/>
      <c r="H180" s="2269"/>
      <c r="I180" s="2269"/>
      <c r="J180" s="2269"/>
      <c r="K180" s="2269"/>
      <c r="L180" s="2269"/>
      <c r="M180" s="2269"/>
      <c r="N180" s="2269"/>
      <c r="O180" s="2269"/>
      <c r="P180" s="2269"/>
      <c r="Q180" s="2269"/>
    </row>
    <row r="181" spans="1:17" s="747" customFormat="1">
      <c r="B181" s="2269"/>
      <c r="C181" s="2269"/>
      <c r="D181" s="2269"/>
      <c r="E181" s="2269"/>
      <c r="F181" s="2269"/>
      <c r="G181" s="2269"/>
      <c r="H181" s="2269"/>
      <c r="I181" s="2269"/>
      <c r="J181" s="2269"/>
      <c r="K181" s="2269"/>
      <c r="L181" s="2269"/>
      <c r="M181" s="2269"/>
      <c r="N181" s="2269"/>
      <c r="O181" s="2269"/>
      <c r="P181" s="2269"/>
      <c r="Q181" s="2269"/>
    </row>
    <row r="182" spans="1:17" s="747" customFormat="1">
      <c r="B182" s="2269"/>
      <c r="C182" s="2269"/>
      <c r="D182" s="2269"/>
      <c r="E182" s="2269"/>
      <c r="F182" s="2269"/>
      <c r="G182" s="2269"/>
      <c r="H182" s="2269"/>
      <c r="I182" s="2269"/>
      <c r="J182" s="2269"/>
      <c r="K182" s="2269"/>
      <c r="L182" s="2269"/>
      <c r="M182" s="2269"/>
      <c r="N182" s="2269"/>
      <c r="O182" s="2269"/>
      <c r="P182" s="2269"/>
      <c r="Q182" s="2269"/>
    </row>
    <row r="183" spans="1:17" s="747" customFormat="1">
      <c r="B183" s="2269"/>
      <c r="C183" s="2269"/>
      <c r="D183" s="2269"/>
      <c r="E183" s="2269"/>
      <c r="F183" s="2269"/>
      <c r="G183" s="2269"/>
      <c r="H183" s="2269"/>
      <c r="I183" s="2269"/>
      <c r="J183" s="2269"/>
      <c r="K183" s="2269"/>
      <c r="L183" s="2269"/>
      <c r="M183" s="2269"/>
      <c r="N183" s="2269"/>
      <c r="O183" s="2269"/>
      <c r="P183" s="2269"/>
      <c r="Q183" s="2269"/>
    </row>
    <row r="184" spans="1:17" s="747" customFormat="1">
      <c r="B184" s="2269"/>
      <c r="C184" s="2269"/>
      <c r="D184" s="2269"/>
      <c r="E184" s="2269"/>
      <c r="F184" s="2269"/>
      <c r="G184" s="2269"/>
      <c r="H184" s="2269"/>
      <c r="I184" s="2269"/>
      <c r="J184" s="2269"/>
      <c r="K184" s="2269"/>
      <c r="L184" s="2269"/>
      <c r="M184" s="2269"/>
      <c r="N184" s="2269"/>
      <c r="O184" s="2269"/>
      <c r="P184" s="2269"/>
      <c r="Q184" s="2269"/>
    </row>
    <row r="185" spans="1:17" s="747" customFormat="1">
      <c r="B185" s="2269"/>
      <c r="C185" s="2269"/>
      <c r="D185" s="2269"/>
      <c r="E185" s="2269"/>
      <c r="F185" s="2269"/>
      <c r="G185" s="2269"/>
      <c r="H185" s="2269"/>
      <c r="I185" s="2269"/>
      <c r="J185" s="2269"/>
      <c r="K185" s="2269"/>
      <c r="L185" s="2269"/>
      <c r="M185" s="2269"/>
      <c r="N185" s="2269"/>
      <c r="O185" s="2269"/>
      <c r="P185" s="2269"/>
      <c r="Q185" s="2269"/>
    </row>
    <row r="186" spans="1:17">
      <c r="A186" s="747"/>
      <c r="B186" s="2269"/>
      <c r="C186" s="2269"/>
      <c r="E186" s="2269"/>
      <c r="F186" s="2269"/>
      <c r="G186" s="2269"/>
    </row>
    <row r="187" spans="1:17">
      <c r="A187" s="747"/>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154.79</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45940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102.858</v>
      </c>
      <c r="C5" s="2292">
        <f ca="1">IF(B5=D14,E14,ROUND(B5*10000/$B$1,0))</f>
        <v>6645</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3351</v>
      </c>
      <c r="D10" s="2292" t="s">
        <v>3352</v>
      </c>
      <c r="E10" s="3127"/>
      <c r="F10" s="3131" t="s">
        <v>3353</v>
      </c>
      <c r="G10" s="3128"/>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'数据-取费表'!K16</f>
        <v>154.79</v>
      </c>
      <c r="C14" s="2298"/>
      <c r="D14" s="2298">
        <f ca="1">结果表!G19</f>
        <v>102.858</v>
      </c>
      <c r="E14" s="2298">
        <f ca="1">ROUND(D14*10000/B14,0)</f>
        <v>6645</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1262</v>
      </c>
      <c r="B1" s="646"/>
      <c r="C1" s="1616" t="s">
        <v>3401</v>
      </c>
      <c r="D1" s="646"/>
      <c r="E1" s="646"/>
      <c r="F1" s="1617" t="s">
        <v>1263</v>
      </c>
      <c r="G1" s="1449" t="s">
        <v>3464</v>
      </c>
      <c r="H1" s="1617" t="str">
        <f>IF(G1="现房","——","估价对象范围")</f>
        <v>——</v>
      </c>
      <c r="I1" s="1618"/>
    </row>
    <row r="2" spans="1:12" ht="21.75" customHeight="1" thickBot="1">
      <c r="A2" s="3308" t="str">
        <f>项目基本情况!S2</f>
        <v>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0" t="s">
        <v>1265</v>
      </c>
      <c r="B4" s="1621" t="s">
        <v>1266</v>
      </c>
      <c r="C4" s="1622" t="s">
        <v>3461</v>
      </c>
      <c r="D4" s="1622" t="s">
        <v>3517</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8" t="s">
        <v>1268</v>
      </c>
      <c r="B5" s="3275">
        <v>25</v>
      </c>
      <c r="C5" s="3291">
        <v>2</v>
      </c>
      <c r="D5" s="3311">
        <f>10-C5</f>
        <v>8</v>
      </c>
      <c r="E5" s="123" t="s">
        <v>1269</v>
      </c>
      <c r="F5" s="1623"/>
      <c r="G5" s="1623"/>
      <c r="H5" s="1623"/>
      <c r="I5" s="1277"/>
    </row>
    <row r="6" spans="1:12" ht="12.75">
      <c r="A6" s="3288"/>
      <c r="B6" s="3275"/>
      <c r="C6" s="3292"/>
      <c r="D6" s="3311"/>
      <c r="E6" s="123" t="s">
        <v>1270</v>
      </c>
      <c r="F6" s="1623"/>
      <c r="G6" s="1623"/>
      <c r="H6" s="1623"/>
      <c r="I6" s="1277"/>
    </row>
    <row r="7" spans="1:12" ht="12.75">
      <c r="A7" s="3288"/>
      <c r="B7" s="3275"/>
      <c r="C7" s="3293"/>
      <c r="D7" s="3311"/>
      <c r="E7" s="123" t="s">
        <v>1271</v>
      </c>
      <c r="F7" s="1623"/>
      <c r="G7" s="1623"/>
      <c r="H7" s="1623"/>
      <c r="I7" s="1277"/>
    </row>
    <row r="8" spans="1:12" ht="12.75">
      <c r="A8" s="3288" t="s">
        <v>1272</v>
      </c>
      <c r="B8" s="3275">
        <v>15</v>
      </c>
      <c r="C8" s="3291"/>
      <c r="D8" s="3311"/>
      <c r="E8" s="123" t="s">
        <v>1273</v>
      </c>
      <c r="F8" s="1623"/>
      <c r="G8" s="1623"/>
      <c r="H8" s="1623"/>
      <c r="I8" s="1277"/>
    </row>
    <row r="9" spans="1:12" ht="12.75">
      <c r="A9" s="3288"/>
      <c r="B9" s="3275"/>
      <c r="C9" s="3293"/>
      <c r="D9" s="3311"/>
      <c r="E9" s="123" t="s">
        <v>1274</v>
      </c>
      <c r="F9" s="1623"/>
      <c r="G9" s="1623"/>
      <c r="H9" s="1623"/>
      <c r="I9" s="1277"/>
    </row>
    <row r="10" spans="1:12" ht="12.75">
      <c r="A10" s="3288" t="s">
        <v>1275</v>
      </c>
      <c r="B10" s="3275">
        <v>15</v>
      </c>
      <c r="C10" s="3291"/>
      <c r="D10" s="3311"/>
      <c r="E10" s="123" t="s">
        <v>1276</v>
      </c>
      <c r="F10" s="1623"/>
      <c r="G10" s="1623"/>
      <c r="H10" s="1623"/>
      <c r="I10" s="1277"/>
    </row>
    <row r="11" spans="1:12" ht="12.75">
      <c r="A11" s="3288"/>
      <c r="B11" s="3275"/>
      <c r="C11" s="3293"/>
      <c r="D11" s="3311"/>
      <c r="E11" s="123" t="s">
        <v>1277</v>
      </c>
      <c r="F11" s="1623"/>
      <c r="G11" s="1623"/>
      <c r="H11" s="1623"/>
      <c r="I11" s="1277"/>
    </row>
    <row r="12" spans="1:12" ht="12.75">
      <c r="A12" s="3288" t="s">
        <v>1278</v>
      </c>
      <c r="B12" s="3275">
        <v>15</v>
      </c>
      <c r="C12" s="3291"/>
      <c r="D12" s="3311"/>
      <c r="E12" s="123" t="s">
        <v>1279</v>
      </c>
      <c r="F12" s="1623"/>
      <c r="G12" s="1623"/>
      <c r="H12" s="1623"/>
      <c r="I12" s="1277"/>
    </row>
    <row r="13" spans="1:12" ht="12.75">
      <c r="A13" s="3288"/>
      <c r="B13" s="3275"/>
      <c r="C13" s="3293"/>
      <c r="D13" s="3311"/>
      <c r="E13" s="123" t="s">
        <v>1280</v>
      </c>
      <c r="F13" s="1623"/>
      <c r="G13" s="1623"/>
      <c r="H13" s="1623"/>
      <c r="I13" s="1277"/>
    </row>
    <row r="14" spans="1:12" ht="12.75">
      <c r="A14" s="3288" t="s">
        <v>1281</v>
      </c>
      <c r="B14" s="3275">
        <v>30</v>
      </c>
      <c r="C14" s="3291"/>
      <c r="D14" s="3311"/>
      <c r="E14" s="123" t="s">
        <v>1282</v>
      </c>
      <c r="F14" s="1623"/>
      <c r="G14" s="1623"/>
      <c r="H14" s="1623"/>
      <c r="I14" s="1277"/>
    </row>
    <row r="15" spans="1:12" ht="12.75">
      <c r="A15" s="3288"/>
      <c r="B15" s="3275"/>
      <c r="C15" s="3292"/>
      <c r="D15" s="3311"/>
      <c r="E15" s="123" t="s">
        <v>1283</v>
      </c>
      <c r="F15" s="1623"/>
      <c r="G15" s="1623"/>
      <c r="H15" s="1623"/>
      <c r="I15" s="1277"/>
    </row>
    <row r="16" spans="1:12" ht="12.75">
      <c r="A16" s="3288"/>
      <c r="B16" s="3275"/>
      <c r="C16" s="3293"/>
      <c r="D16" s="3311"/>
      <c r="E16" s="123" t="s">
        <v>1284</v>
      </c>
      <c r="F16" s="1623"/>
      <c r="G16" s="1623"/>
      <c r="H16" s="1623"/>
      <c r="I16" s="1277"/>
    </row>
    <row r="17" spans="1:36" ht="15">
      <c r="A17" s="1624" t="s">
        <v>1285</v>
      </c>
      <c r="B17" s="54"/>
      <c r="C17" s="124">
        <f>SUM(C5:C16)</f>
        <v>2</v>
      </c>
      <c r="D17" s="124">
        <f>SUM(D5:D16)</f>
        <v>8</v>
      </c>
      <c r="E17" s="121"/>
      <c r="F17" s="121"/>
      <c r="G17" s="121"/>
      <c r="H17" s="121"/>
      <c r="I17" s="121"/>
      <c r="K17" s="294"/>
      <c r="L17" s="294" t="s">
        <v>1286</v>
      </c>
      <c r="M17" s="294" t="s">
        <v>1287</v>
      </c>
    </row>
    <row r="18" spans="1:36" ht="31.9" customHeight="1" thickBot="1">
      <c r="A18" s="1625" t="s">
        <v>1288</v>
      </c>
      <c r="B18" s="1538"/>
      <c r="C18" s="125">
        <f>ROUND(C17/SUM(C17:D17),2)</f>
        <v>0.2</v>
      </c>
      <c r="D18" s="125">
        <f>1-C18</f>
        <v>0.8</v>
      </c>
      <c r="E18" s="3298" t="s">
        <v>2131</v>
      </c>
      <c r="F18" s="3299"/>
      <c r="G18" s="3299"/>
      <c r="H18" s="3299"/>
      <c r="I18" s="3299"/>
      <c r="K18" s="294" t="s">
        <v>1289</v>
      </c>
      <c r="L18" s="294">
        <f>IF(C1="",'数据-汇总表'!E3,SUMIF(项目类型,C1,'数据-汇总表'!E17:E26)+SUMIF(项目类型,C1,'数据-汇总表'!I17:I26))</f>
        <v>154.79</v>
      </c>
      <c r="M18" s="294">
        <f>IF(C1="",'数据-汇总表'!E3,SUMIF(项目类型,C1,'数据-汇总表'!E17:E26))</f>
        <v>154.79</v>
      </c>
    </row>
    <row r="19" spans="1:36" ht="15">
      <c r="A19" s="1626" t="s">
        <v>1290</v>
      </c>
      <c r="B19" s="1627" t="s">
        <v>1291</v>
      </c>
      <c r="C19" s="126">
        <f ca="1">SUMIF(INDIRECT("'"&amp;C4&amp;"'"&amp;"!A:A"),结果表!B19,INDIRECT("'"&amp;C4&amp;"'"&amp;"!B:B"))</f>
        <v>64.686800000000005</v>
      </c>
      <c r="D19" s="127">
        <f ca="1">SUMIF(INDIRECT("'"&amp;D4&amp;"'"&amp;"!A:A"),结果表!B19,INDIRECT("'"&amp;D4&amp;"'"&amp;"!B:B"))</f>
        <v>112.4085</v>
      </c>
      <c r="E19" s="1626" t="s">
        <v>1292</v>
      </c>
      <c r="F19" s="1627" t="s">
        <v>1291</v>
      </c>
      <c r="G19" s="128">
        <f ca="1">ROUND(G20*'数据-汇总表'!F19/10000,4)</f>
        <v>102.858</v>
      </c>
      <c r="H19" s="1628" t="s">
        <v>1293</v>
      </c>
      <c r="I19" s="121">
        <f ca="1">G20*'收益法 (元)'!F43</f>
        <v>1028579.5499999999</v>
      </c>
      <c r="K19" s="294" t="s">
        <v>1294</v>
      </c>
      <c r="L19" s="294">
        <f>IF(C1="",'数据-汇总表'!D3,SUMIF(项目类型,C1,'数据-汇总表'!D17:D26)+SUMIF(项目类型,C1,'数据-汇总表'!H17:H27))</f>
        <v>0</v>
      </c>
      <c r="M19" s="294">
        <f>IF(C1="",'数据-汇总表'!D3,SUMIF(项目类型,C1,'数据-汇总表'!D17:D26))</f>
        <v>0</v>
      </c>
    </row>
    <row r="20" spans="1:36" ht="15">
      <c r="A20" s="1629"/>
      <c r="B20" s="43" t="s">
        <v>1295</v>
      </c>
      <c r="C20" s="129">
        <f ca="1">SUMIF(INDIRECT("'"&amp;C4&amp;"'"&amp;"!A:A"),结果表!B20,INDIRECT("'"&amp;C4&amp;"'"&amp;"!B:B"))</f>
        <v>4179</v>
      </c>
      <c r="D20" s="130">
        <f ca="1">SUMIF(INDIRECT("'"&amp;D4&amp;"'"&amp;"!A:A"),结果表!B20,INDIRECT("'"&amp;D4&amp;"'"&amp;"!B:B"))</f>
        <v>7262</v>
      </c>
      <c r="E20" s="1629"/>
      <c r="F20" s="43" t="s">
        <v>1295</v>
      </c>
      <c r="G20" s="131">
        <f ca="1">ROUND(C20*$C$18+D20*$D$18,0)</f>
        <v>6645</v>
      </c>
      <c r="H20" s="756"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0" t="s">
        <v>1296</v>
      </c>
      <c r="I21" s="121"/>
    </row>
    <row r="22" spans="1:36" ht="15" thickBot="1">
      <c r="A22" s="1560" t="s">
        <v>1298</v>
      </c>
      <c r="B22" s="1631"/>
      <c r="C22" s="1632"/>
      <c r="D22" s="680">
        <f ca="1">IF(C19&lt;D19,D19/C19-1,C19/D19-1)</f>
        <v>0.73773474650160464</v>
      </c>
      <c r="E22" s="121"/>
      <c r="F22" s="3184" t="s">
        <v>3525</v>
      </c>
      <c r="G22" s="121">
        <f ca="1">G19-D27/10000</f>
        <v>97.465100000000007</v>
      </c>
      <c r="H22" s="3184" t="s">
        <v>3526</v>
      </c>
      <c r="I22" s="121"/>
    </row>
    <row r="23" spans="1:36" ht="13.5" thickBot="1">
      <c r="A23" s="646"/>
      <c r="B23" s="646"/>
      <c r="C23" s="646"/>
      <c r="D23" s="646"/>
      <c r="E23" s="121"/>
      <c r="F23" s="121"/>
      <c r="G23" s="121"/>
      <c r="H23" s="121"/>
      <c r="I23" s="121"/>
    </row>
    <row r="24" spans="1:36" ht="14.25">
      <c r="A24" s="3282" t="s">
        <v>1299</v>
      </c>
      <c r="B24" s="1627" t="s">
        <v>1291</v>
      </c>
      <c r="C24" s="128">
        <f>IF(B30=0,0,D30)</f>
        <v>0</v>
      </c>
      <c r="D24" s="1633"/>
      <c r="E24" s="121"/>
      <c r="F24" s="121"/>
      <c r="G24" s="121"/>
      <c r="H24" s="121"/>
      <c r="I24" s="121"/>
    </row>
    <row r="25" spans="1:36" ht="14.25">
      <c r="A25" s="3283"/>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4.25">
      <c r="A27" s="1635"/>
      <c r="B27" s="134">
        <f>'数据-基础表'!I13</f>
        <v>154.79</v>
      </c>
      <c r="C27" s="134">
        <v>1742</v>
      </c>
      <c r="D27" s="135">
        <f>ROUND(C27*B27*20%,0)</f>
        <v>53929</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1304</v>
      </c>
      <c r="B30" s="134"/>
      <c r="C30" s="134"/>
      <c r="D30" s="134"/>
      <c r="E30" s="2121" t="s">
        <v>2132</v>
      </c>
      <c r="F30" s="121"/>
      <c r="G30" s="121"/>
      <c r="H30" s="121"/>
      <c r="I30" s="121"/>
    </row>
    <row r="31" spans="1:36" s="2127" customFormat="1" ht="26.45" customHeight="1" thickTop="1" thickBot="1">
      <c r="A31" s="2122"/>
      <c r="B31" s="2123"/>
      <c r="C31" s="2123"/>
      <c r="D31" s="2123"/>
      <c r="E31" s="2123"/>
      <c r="F31" s="2123"/>
      <c r="G31" s="2123"/>
      <c r="H31" s="2123"/>
      <c r="I31" s="2124" t="s">
        <v>2133</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1305</v>
      </c>
      <c r="B32" s="1531"/>
      <c r="C32" s="136">
        <f ca="1">IF(D32="总价",G19-C24,G20-C25)</f>
        <v>6645</v>
      </c>
      <c r="D32" s="1637"/>
      <c r="E32" s="121"/>
      <c r="F32" s="121"/>
      <c r="G32" s="121"/>
      <c r="H32" s="121"/>
      <c r="I32" s="121"/>
    </row>
    <row r="33" spans="1:15" ht="15">
      <c r="A33" s="736" t="s">
        <v>1306</v>
      </c>
      <c r="B33" s="123"/>
      <c r="C33" s="1638"/>
      <c r="D33" s="1639"/>
      <c r="E33" s="1640" t="s">
        <v>1307</v>
      </c>
      <c r="F33" s="1641" t="str">
        <f>IF(D32="楼面单价","取值（单价）","取值（总价）")</f>
        <v>取值（总价）</v>
      </c>
      <c r="G33" s="121"/>
      <c r="H33" s="121"/>
      <c r="I33" s="121"/>
    </row>
    <row r="34" spans="1:15" ht="15">
      <c r="A34" s="1642"/>
      <c r="B34" s="1643"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1309</v>
      </c>
      <c r="F34" s="1239"/>
      <c r="G34" s="121"/>
      <c r="H34" s="121"/>
      <c r="I34" s="121"/>
    </row>
    <row r="35" spans="1:15" ht="15.75" thickBot="1">
      <c r="A35" s="1645"/>
      <c r="B35" s="1646"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1311</v>
      </c>
      <c r="F35" s="146"/>
      <c r="G35" s="121"/>
      <c r="H35" s="121"/>
      <c r="I35" s="121"/>
    </row>
    <row r="36" spans="1:15" ht="15.75" thickBot="1">
      <c r="A36" s="3302" t="s">
        <v>1312</v>
      </c>
      <c r="B36" s="1648" t="s">
        <v>1313</v>
      </c>
      <c r="C36" s="137"/>
      <c r="D36" s="1649"/>
      <c r="E36" s="1563"/>
      <c r="F36" s="1650"/>
      <c r="G36" s="121"/>
      <c r="H36" s="121"/>
      <c r="I36" s="121"/>
    </row>
    <row r="37" spans="1:15" ht="15.75" thickBot="1">
      <c r="A37" s="3303"/>
      <c r="B37" s="1551" t="s">
        <v>1314</v>
      </c>
      <c r="C37" s="139"/>
      <c r="D37" s="1067"/>
      <c r="E37" s="1067"/>
      <c r="F37" s="1650"/>
      <c r="G37" s="121"/>
      <c r="H37" s="121"/>
      <c r="I37" s="121"/>
    </row>
    <row r="38" spans="1:15" ht="15.75" thickBot="1">
      <c r="A38" s="3304"/>
      <c r="B38" s="1651" t="s">
        <v>1315</v>
      </c>
      <c r="C38" s="641"/>
      <c r="D38" s="1652" t="s">
        <v>1316</v>
      </c>
      <c r="E38" s="1067"/>
      <c r="F38" s="1650"/>
      <c r="G38" s="121"/>
      <c r="H38" s="121"/>
      <c r="I38" s="121"/>
    </row>
    <row r="39" spans="1:15" ht="15">
      <c r="A39" s="1629" t="s">
        <v>1317</v>
      </c>
      <c r="B39" s="1653" t="s">
        <v>1318</v>
      </c>
      <c r="C39" s="1654" t="s">
        <v>1319</v>
      </c>
      <c r="D39" s="1654" t="s">
        <v>1320</v>
      </c>
      <c r="E39" s="1655" t="s">
        <v>1321</v>
      </c>
      <c r="F39" s="1650"/>
      <c r="G39" s="121"/>
      <c r="H39" s="121"/>
      <c r="I39" s="121"/>
    </row>
    <row r="40" spans="1:15" ht="14.25">
      <c r="A40" s="1656" t="s">
        <v>1322</v>
      </c>
      <c r="B40" s="141"/>
      <c r="C40" s="142"/>
      <c r="D40" s="142"/>
      <c r="E40" s="143"/>
      <c r="F40" s="1650"/>
      <c r="G40" s="121"/>
      <c r="H40" s="121"/>
      <c r="I40" s="121"/>
    </row>
    <row r="41" spans="1:15" ht="14.25">
      <c r="A41" s="1656" t="s">
        <v>1323</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79" t="s">
        <v>1326</v>
      </c>
      <c r="B45" s="3280"/>
      <c r="C45" s="3281"/>
      <c r="D45" s="147" t="e">
        <f ca="1">ROUND(H101*F45,0)</f>
        <v>#REF!</v>
      </c>
      <c r="E45" s="148" t="s">
        <v>1327</v>
      </c>
      <c r="F45" s="149">
        <v>1</v>
      </c>
      <c r="G45" s="150" t="s">
        <v>1328</v>
      </c>
      <c r="H45" s="121"/>
      <c r="I45" s="121"/>
      <c r="J45" s="3357" t="s">
        <v>1329</v>
      </c>
      <c r="K45" s="3357"/>
      <c r="L45" s="3357"/>
      <c r="M45" s="3357"/>
      <c r="N45" s="3357"/>
      <c r="O45" s="3357"/>
    </row>
    <row r="46" spans="1:15" ht="14.25" customHeight="1">
      <c r="A46" s="3276" t="s">
        <v>1330</v>
      </c>
      <c r="B46" s="3277"/>
      <c r="C46" s="3277"/>
      <c r="D46" s="3277"/>
      <c r="E46" s="3277"/>
      <c r="F46" s="3277"/>
      <c r="G46" s="3278"/>
      <c r="H46" s="1664"/>
      <c r="I46" s="151"/>
      <c r="J46" s="2302">
        <v>1</v>
      </c>
      <c r="K46" s="3338" t="s">
        <v>1331</v>
      </c>
      <c r="L46" s="3338"/>
      <c r="M46" s="3358"/>
      <c r="N46" s="3358"/>
      <c r="O46" s="3358"/>
    </row>
    <row r="47" spans="1:15" ht="12" customHeight="1">
      <c r="A47" s="152" t="s">
        <v>1332</v>
      </c>
      <c r="B47" s="153"/>
      <c r="C47" s="154"/>
      <c r="D47" s="1020" t="s">
        <v>1333</v>
      </c>
      <c r="E47" s="294" t="s">
        <v>1334</v>
      </c>
      <c r="F47" s="155" t="s">
        <v>1335</v>
      </c>
      <c r="G47" s="2325" t="s">
        <v>1336</v>
      </c>
      <c r="H47" s="2326"/>
      <c r="I47" s="151"/>
      <c r="J47" s="2302">
        <v>2</v>
      </c>
      <c r="K47" s="3338" t="s">
        <v>1337</v>
      </c>
      <c r="L47" s="3338"/>
      <c r="M47" s="3359">
        <f>'数据-取费表'!B2</f>
        <v>45940</v>
      </c>
      <c r="N47" s="3359"/>
      <c r="O47" s="3359"/>
    </row>
    <row r="48" spans="1:15" ht="25.5">
      <c r="A48" s="3307" t="s">
        <v>1338</v>
      </c>
      <c r="B48" s="3290"/>
      <c r="C48" s="3290"/>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1339</v>
      </c>
      <c r="H48" s="2329"/>
      <c r="I48" s="1664"/>
      <c r="J48" s="2302">
        <v>3</v>
      </c>
      <c r="K48" s="3338" t="s">
        <v>1340</v>
      </c>
      <c r="L48" s="3338"/>
      <c r="M48" s="3360" t="e">
        <f ca="1">H101</f>
        <v>#REF!</v>
      </c>
      <c r="N48" s="3360"/>
      <c r="O48" s="3360"/>
    </row>
    <row r="49" spans="1:35" ht="25.5" customHeight="1">
      <c r="A49" s="2146" t="s">
        <v>1341</v>
      </c>
      <c r="B49" s="3274" t="s">
        <v>1342</v>
      </c>
      <c r="C49" s="3274"/>
      <c r="D49" s="1474">
        <v>0</v>
      </c>
      <c r="E49" s="316" t="s">
        <v>1343</v>
      </c>
      <c r="F49" s="2227" t="s">
        <v>28</v>
      </c>
      <c r="G49" s="3344"/>
      <c r="H49" s="2128" t="s">
        <v>2134</v>
      </c>
      <c r="I49" s="2129"/>
      <c r="J49" s="2302">
        <v>4</v>
      </c>
      <c r="K49" s="3338" t="str">
        <f>IF(项目基本情况!E8="房地产抵押价值","房地产抵押价值","抵押担保权已注销时的房地产抵押价值")</f>
        <v>抵押担保权已注销时的房地产抵押价值</v>
      </c>
      <c r="L49" s="3338"/>
      <c r="M49" s="3360" t="str">
        <f>IF(项目基本情况!E8="房地产抵押价值",H107,H109)</f>
        <v>——</v>
      </c>
      <c r="N49" s="3360"/>
      <c r="O49" s="3360"/>
    </row>
    <row r="50" spans="1:35" ht="25.5" customHeight="1">
      <c r="A50" s="2330"/>
      <c r="B50" s="3274" t="s">
        <v>1344</v>
      </c>
      <c r="C50" s="3274"/>
      <c r="D50" s="2183"/>
      <c r="E50" s="323"/>
      <c r="F50" s="2227"/>
      <c r="G50" s="3345"/>
      <c r="H50" s="2130" t="s">
        <v>2135</v>
      </c>
      <c r="I50" s="2129"/>
      <c r="J50" s="3357" t="s">
        <v>1345</v>
      </c>
      <c r="K50" s="3357"/>
      <c r="L50" s="3357"/>
      <c r="M50" s="3357"/>
      <c r="N50" s="3357"/>
      <c r="O50" s="3357"/>
    </row>
    <row r="51" spans="1:35" ht="20.45" customHeight="1">
      <c r="A51" s="2331"/>
      <c r="B51" s="3274" t="s">
        <v>1346</v>
      </c>
      <c r="C51" s="3274"/>
      <c r="D51" s="1020"/>
      <c r="E51" s="319"/>
      <c r="F51" s="2227"/>
      <c r="G51" s="3346"/>
      <c r="H51" s="2130" t="s">
        <v>2136</v>
      </c>
      <c r="I51" s="2129"/>
      <c r="J51" s="2303" t="s">
        <v>1347</v>
      </c>
      <c r="K51" s="3338" t="s">
        <v>1348</v>
      </c>
      <c r="L51" s="3338"/>
      <c r="M51" s="2303" t="s">
        <v>1349</v>
      </c>
      <c r="N51" s="2303" t="s">
        <v>1350</v>
      </c>
      <c r="O51" s="2303" t="s">
        <v>1351</v>
      </c>
    </row>
    <row r="52" spans="1:35" ht="24" customHeight="1">
      <c r="A52" s="2147" t="s">
        <v>1352</v>
      </c>
      <c r="B52" s="3274" t="s">
        <v>1353</v>
      </c>
      <c r="C52" s="3274"/>
      <c r="D52" s="1020" t="e">
        <f ca="1">ROUND(D45*'数据-取费表'!B41/(1+'数据-取费表'!C42),0)</f>
        <v>#REF!</v>
      </c>
      <c r="E52" s="1252" t="s">
        <v>1354</v>
      </c>
      <c r="F52" s="2332">
        <f>'数据-取费表'!B41</f>
        <v>5.6000000000000001E-2</v>
      </c>
      <c r="G52" s="2333"/>
      <c r="H52" s="2323"/>
      <c r="I52" s="1665"/>
      <c r="J52" s="2302">
        <v>1</v>
      </c>
      <c r="K52" s="3339" t="s">
        <v>1355</v>
      </c>
      <c r="L52" s="3339"/>
      <c r="M52" s="2304" t="b">
        <f>D48</f>
        <v>0</v>
      </c>
      <c r="N52" s="2302" t="str">
        <f>E48</f>
        <v>销售额×税（费）率</v>
      </c>
      <c r="O52" s="2305">
        <f>F48</f>
        <v>5.6000000000000001E-2</v>
      </c>
    </row>
    <row r="53" spans="1:35" ht="12" customHeight="1">
      <c r="A53" s="2147" t="s">
        <v>1356</v>
      </c>
      <c r="B53" s="3300" t="s">
        <v>2287</v>
      </c>
      <c r="C53" s="3301"/>
      <c r="D53" s="1020" t="e">
        <f ca="1">ROUND(D45*'数据-取费表'!B41/(1+'数据-取费表'!C42),0)</f>
        <v>#REF!</v>
      </c>
      <c r="E53" s="1252" t="s">
        <v>1354</v>
      </c>
      <c r="F53" s="2332">
        <f>'数据-取费表'!B41</f>
        <v>5.6000000000000001E-2</v>
      </c>
      <c r="G53" s="2333"/>
      <c r="H53" s="2323"/>
      <c r="I53" s="1665"/>
      <c r="J53" s="2302">
        <v>2</v>
      </c>
      <c r="K53" s="3339" t="s">
        <v>1357</v>
      </c>
      <c r="L53" s="3339"/>
      <c r="M53" s="2304" t="e">
        <f t="shared" ref="M53:O54" ca="1" si="0">D55</f>
        <v>#REF!</v>
      </c>
      <c r="N53" s="2302" t="str">
        <f t="shared" si="0"/>
        <v>销售额×税（费）率</v>
      </c>
      <c r="O53" s="2305" t="str">
        <f t="shared" si="0"/>
        <v>免征</v>
      </c>
    </row>
    <row r="54" spans="1:35" ht="12" customHeight="1">
      <c r="A54" s="2147" t="s">
        <v>1358</v>
      </c>
      <c r="B54" s="3300" t="s">
        <v>2288</v>
      </c>
      <c r="C54" s="3301"/>
      <c r="D54" s="1020" t="e">
        <f ca="1">C68</f>
        <v>#REF!</v>
      </c>
      <c r="E54" s="319" t="s">
        <v>1359</v>
      </c>
      <c r="F54" s="2332">
        <f>'数据-取费表'!B41</f>
        <v>5.6000000000000001E-2</v>
      </c>
      <c r="G54" s="2333"/>
      <c r="H54" s="2334"/>
      <c r="I54" s="1665"/>
      <c r="J54" s="2302">
        <v>3</v>
      </c>
      <c r="K54" s="3339" t="s">
        <v>1360</v>
      </c>
      <c r="L54" s="3339"/>
      <c r="M54" s="2304" t="e">
        <f t="shared" ca="1" si="0"/>
        <v>#REF!</v>
      </c>
      <c r="N54" s="2302" t="str">
        <f t="shared" si="0"/>
        <v>增值额×税（费）率</v>
      </c>
      <c r="O54" s="2306" t="str">
        <f t="shared" si="0"/>
        <v>免征</v>
      </c>
    </row>
    <row r="55" spans="1:35" ht="24" customHeight="1">
      <c r="A55" s="3289" t="s">
        <v>1361</v>
      </c>
      <c r="B55" s="3290"/>
      <c r="C55" s="3290"/>
      <c r="D55" s="12" t="e">
        <f ca="1">IF(H55="个人住宅",0,ROUND(D45*I55,0))</f>
        <v>#REF!</v>
      </c>
      <c r="E55" s="1252" t="s">
        <v>1362</v>
      </c>
      <c r="F55" s="2332" t="str">
        <f>IF(H55="正常",I55,"免征")</f>
        <v>免征</v>
      </c>
      <c r="G55" s="2333"/>
      <c r="H55" s="2329"/>
      <c r="I55" s="157">
        <f>'数据-取费表'!B49</f>
        <v>5.0000000000000001E-4</v>
      </c>
      <c r="J55" s="2302">
        <f>IF(H59="非个人房产","",4)</f>
        <v>4</v>
      </c>
      <c r="K55" s="3339" t="str">
        <f>IF(H59="非个人房产","——","个人所得税")</f>
        <v>个人所得税</v>
      </c>
      <c r="L55" s="3339"/>
      <c r="M55" s="2307" t="e">
        <f ca="1">D59</f>
        <v>#REF!</v>
      </c>
      <c r="N55" s="1877" t="str">
        <f>E59</f>
        <v>差额计税</v>
      </c>
      <c r="O55" s="2308">
        <f>F59</f>
        <v>0.01</v>
      </c>
    </row>
    <row r="56" spans="1:35" ht="24.75">
      <c r="A56" s="3289" t="s">
        <v>1363</v>
      </c>
      <c r="B56" s="3290"/>
      <c r="C56" s="3290"/>
      <c r="D56" s="12" t="e">
        <f ca="1">IF(H56="个人住宅",D57,D58)</f>
        <v>#REF!</v>
      </c>
      <c r="E56" s="1252" t="s">
        <v>1364</v>
      </c>
      <c r="F56" s="2332" t="str">
        <f>IF(H56="正常",F58,"免征")</f>
        <v>免征</v>
      </c>
      <c r="G56" s="2335" t="s">
        <v>1365</v>
      </c>
      <c r="H56" s="2336"/>
      <c r="I56" s="1666"/>
      <c r="J56" s="2302" t="str">
        <f>IF(项目基本情况!K6="上海银行",IF(J55="",4,J55+1),"")</f>
        <v/>
      </c>
      <c r="K56" s="3362" t="str">
        <f>IF(项目基本情况!K6="上海银行","其他处置费用","")</f>
        <v/>
      </c>
      <c r="L56" s="3363"/>
      <c r="M56" s="2304" t="str">
        <f>IF(项目基本情况!K6="上海银行",M69,"")</f>
        <v/>
      </c>
      <c r="N56" s="3362" t="str">
        <f>IF(项目基本情况!K6="上海银行","包含处置中涉及的律师、诉讼、拍卖、评估等费用","")</f>
        <v/>
      </c>
      <c r="O56" s="3365"/>
    </row>
    <row r="57" spans="1:35" ht="12.75">
      <c r="A57" s="2147" t="s">
        <v>1341</v>
      </c>
      <c r="B57" s="3300" t="s">
        <v>1366</v>
      </c>
      <c r="C57" s="3301"/>
      <c r="D57" s="1474">
        <v>0</v>
      </c>
      <c r="E57" s="316" t="s">
        <v>1343</v>
      </c>
      <c r="F57" s="294"/>
      <c r="G57" s="2333"/>
      <c r="H57" s="2337"/>
      <c r="I57" s="1666"/>
      <c r="J57" s="3339">
        <f>IF(AND(J55="",J56=""),4,IF(项目基本情况!K6="上海银行",结果表!J56+1,结果表!J55+1))</f>
        <v>5</v>
      </c>
      <c r="K57" s="3339" t="s">
        <v>1367</v>
      </c>
      <c r="L57" s="2309" t="s">
        <v>1368</v>
      </c>
      <c r="M57" s="2310"/>
      <c r="N57" s="2311">
        <f ca="1">SUMIF(M52:M56,"&lt;9e307")</f>
        <v>0</v>
      </c>
      <c r="O57" s="2312"/>
      <c r="P57" s="2457" t="e">
        <f ca="1">N57/M49</f>
        <v>#VALUE!</v>
      </c>
    </row>
    <row r="58" spans="1:35" ht="24.75">
      <c r="A58" s="2147" t="s">
        <v>1352</v>
      </c>
      <c r="B58" s="3300" t="s">
        <v>1369</v>
      </c>
      <c r="C58" s="3274"/>
      <c r="D58" s="12" t="e">
        <f ca="1">IF(H58="转让取得",C81,C97)</f>
        <v>#REF!</v>
      </c>
      <c r="E58" s="1252" t="s">
        <v>1364</v>
      </c>
      <c r="F58" s="294" t="s">
        <v>28</v>
      </c>
      <c r="G58" s="2333"/>
      <c r="H58" s="2336"/>
      <c r="I58" s="1666"/>
      <c r="J58" s="3339"/>
      <c r="K58" s="3339"/>
      <c r="L58" s="2309" t="s">
        <v>1370</v>
      </c>
      <c r="M58" s="2313"/>
      <c r="N58" s="2314" t="str">
        <f ca="1">NUMBERSTRING(INT(N57*10000),2)&amp;"元整"</f>
        <v>零元整</v>
      </c>
      <c r="O58" s="2315"/>
    </row>
    <row r="59" spans="1:35" ht="24.75" thickBot="1">
      <c r="A59" s="3342" t="s">
        <v>1371</v>
      </c>
      <c r="B59" s="3343"/>
      <c r="C59" s="3343"/>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2"/>
      <c r="I59" s="2131" t="s">
        <v>2137</v>
      </c>
      <c r="J59" s="3340">
        <f>J57+1</f>
        <v>6</v>
      </c>
      <c r="K59" s="3339" t="s">
        <v>1372</v>
      </c>
      <c r="L59" s="2302" t="s">
        <v>1368</v>
      </c>
      <c r="M59" s="2316"/>
      <c r="N59" s="2317" t="e">
        <f ca="1">M49-N57</f>
        <v>#VALUE!</v>
      </c>
      <c r="O59" s="2318"/>
    </row>
    <row r="60" spans="1:35" ht="12" customHeight="1">
      <c r="A60" s="1667"/>
      <c r="B60" s="646"/>
      <c r="C60" s="646"/>
      <c r="D60" s="646"/>
      <c r="E60" s="1462"/>
      <c r="F60" s="1666"/>
      <c r="G60" s="1666"/>
      <c r="H60" s="151"/>
      <c r="I60" s="121"/>
      <c r="J60" s="3341"/>
      <c r="K60" s="3339"/>
      <c r="L60" s="2309" t="s">
        <v>1370</v>
      </c>
      <c r="M60" s="2313"/>
      <c r="N60" s="2314" t="e">
        <f ca="1">NUMBERSTRING(INT(N59*10000),2)&amp;"元整"</f>
        <v>#VALUE!</v>
      </c>
      <c r="O60" s="2315"/>
    </row>
    <row r="61" spans="1:35" ht="13.5" thickBot="1">
      <c r="A61" s="3287" t="s">
        <v>1373</v>
      </c>
      <c r="B61" s="3287"/>
      <c r="C61" s="3287"/>
      <c r="D61" s="3287"/>
      <c r="E61" s="3287"/>
      <c r="F61" s="1666"/>
      <c r="G61" s="1666"/>
      <c r="H61" s="151"/>
      <c r="I61" s="121"/>
      <c r="J61" s="2302">
        <f>J59+1</f>
        <v>7</v>
      </c>
      <c r="K61" s="3339" t="s">
        <v>1374</v>
      </c>
      <c r="L61" s="3339"/>
      <c r="M61" s="2319"/>
      <c r="N61" s="2320" t="e">
        <f ca="1">ROUND(N59*10000/'数据-汇总表'!E3,0)</f>
        <v>#VALUE!</v>
      </c>
      <c r="O61" s="2321"/>
    </row>
    <row r="62" spans="1:35" ht="12.75">
      <c r="A62" s="3305" t="s">
        <v>1375</v>
      </c>
      <c r="B62" s="3306"/>
      <c r="C62" s="1859"/>
      <c r="D62" s="1859" t="s">
        <v>1376</v>
      </c>
      <c r="E62" s="158" t="s">
        <v>1377</v>
      </c>
      <c r="F62" s="1666"/>
      <c r="G62" s="1666"/>
      <c r="H62" s="151"/>
      <c r="I62" s="121"/>
    </row>
    <row r="63" spans="1:35" ht="12.75">
      <c r="A63" s="165" t="s">
        <v>330</v>
      </c>
      <c r="B63" s="159" t="s">
        <v>1378</v>
      </c>
      <c r="C63" s="2342" t="e">
        <f ca="1">ROUND((C64+C65)/(1+'数据-取费表'!C42),0)</f>
        <v>#REF!</v>
      </c>
      <c r="D63" s="159"/>
      <c r="E63" s="160"/>
      <c r="F63" s="1666"/>
      <c r="G63" s="1666"/>
      <c r="H63" s="151"/>
      <c r="I63" s="121"/>
      <c r="J63" s="3364" t="s">
        <v>1379</v>
      </c>
      <c r="K63" s="1241" t="s">
        <v>1380</v>
      </c>
      <c r="L63" s="1241" t="e">
        <f>IF(M49&gt;10000,M49*0.5%,IF(AND(M49&gt;1000,M49&lt;=10000),M49*1%,IF(AND(M49&gt;100,M49&lt;=1000),M49*3%,IF(AND(M49&gt;10,M49&lt;=100),M49*5%,M49*8%))))</f>
        <v>#VALUE!</v>
      </c>
      <c r="M63" s="294" t="e">
        <f>ROUND(L63,1)</f>
        <v>#VALUE!</v>
      </c>
      <c r="N63" s="2322"/>
      <c r="Z63" s="1619"/>
      <c r="AI63" s="1557"/>
    </row>
    <row r="64" spans="1:35" ht="14.25" customHeight="1">
      <c r="A64" s="161" t="s">
        <v>325</v>
      </c>
      <c r="B64" s="162" t="s">
        <v>1381</v>
      </c>
      <c r="C64" s="2343" t="e">
        <f ca="1">D45</f>
        <v>#REF!</v>
      </c>
      <c r="D64" s="162" t="s">
        <v>26</v>
      </c>
      <c r="E64" s="164"/>
      <c r="F64" s="1666"/>
      <c r="G64" s="1666"/>
      <c r="H64" s="151"/>
      <c r="I64" s="121"/>
      <c r="J64" s="3364"/>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1383</v>
      </c>
      <c r="Z64" s="1619"/>
      <c r="AI64" s="1557"/>
    </row>
    <row r="65" spans="1:35" ht="14.25" customHeight="1">
      <c r="A65" s="161" t="s">
        <v>326</v>
      </c>
      <c r="B65" s="162" t="s">
        <v>1384</v>
      </c>
      <c r="C65" s="2344"/>
      <c r="D65" s="162"/>
      <c r="E65" s="164"/>
      <c r="F65" s="1666"/>
      <c r="G65" s="1666"/>
      <c r="H65" s="151"/>
      <c r="I65" s="121"/>
      <c r="J65" s="3364"/>
      <c r="K65" s="1241" t="s">
        <v>1385</v>
      </c>
      <c r="L65" s="1241" t="e">
        <f>IF(M49&gt;1000,M49*0.1%,IF(AND(M49&gt;500,M49&lt;=1000),M49*0.5%,IF(AND(M49&gt;50,M49&lt;=500),M49*1%,IF(AND(M49&gt;1,M49&lt;=50),M49*1.5%))))</f>
        <v>#VALUE!</v>
      </c>
      <c r="M65" s="294" t="e">
        <f t="shared" si="1"/>
        <v>#VALUE!</v>
      </c>
      <c r="N65" s="2323" t="s">
        <v>1383</v>
      </c>
      <c r="Z65" s="1619"/>
      <c r="AI65" s="1557"/>
    </row>
    <row r="66" spans="1:35" ht="14.25" customHeight="1">
      <c r="A66" s="165" t="s">
        <v>327</v>
      </c>
      <c r="B66" s="166" t="s">
        <v>1386</v>
      </c>
      <c r="C66" s="2345"/>
      <c r="D66" s="166" t="s">
        <v>26</v>
      </c>
      <c r="E66" s="1247" t="s">
        <v>671</v>
      </c>
      <c r="F66" s="1666"/>
      <c r="G66" s="1666"/>
      <c r="H66" s="151"/>
      <c r="I66" s="121"/>
      <c r="J66" s="3364"/>
      <c r="K66" s="1241" t="s">
        <v>1387</v>
      </c>
      <c r="L66" s="1241" t="e">
        <f>M49*0.5%</f>
        <v>#VALUE!</v>
      </c>
      <c r="M66" s="294" t="e">
        <f>IF(L66&gt;0.5,0.5,ROUND(L66,0))</f>
        <v>#VALUE!</v>
      </c>
      <c r="N66" s="2323" t="s">
        <v>1388</v>
      </c>
      <c r="Z66" s="1619"/>
      <c r="AI66" s="1557"/>
    </row>
    <row r="67" spans="1:35" ht="14.25" customHeight="1">
      <c r="A67" s="165" t="s">
        <v>328</v>
      </c>
      <c r="B67" s="166" t="s">
        <v>1389</v>
      </c>
      <c r="C67" s="2346" t="e">
        <f ca="1">C63-C66</f>
        <v>#REF!</v>
      </c>
      <c r="D67" s="162" t="s">
        <v>26</v>
      </c>
      <c r="E67" s="164"/>
      <c r="F67" s="1666"/>
      <c r="G67" s="1666"/>
      <c r="H67" s="151"/>
      <c r="I67" s="121"/>
      <c r="J67" s="3364"/>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9"/>
      <c r="AI67" s="1557"/>
    </row>
    <row r="68" spans="1:35" ht="14.25" customHeight="1" thickBot="1">
      <c r="A68" s="168" t="s">
        <v>329</v>
      </c>
      <c r="B68" s="169" t="s">
        <v>1391</v>
      </c>
      <c r="C68" s="2347" t="e">
        <f ca="1">IF(C67&lt;=0,0,ROUND(C67*D68,0))</f>
        <v>#REF!</v>
      </c>
      <c r="D68" s="2348">
        <f>'数据-取费表'!B41</f>
        <v>5.6000000000000001E-2</v>
      </c>
      <c r="E68" s="170"/>
      <c r="F68" s="1666"/>
      <c r="G68" s="1666"/>
      <c r="H68" s="151"/>
      <c r="I68" s="121"/>
      <c r="J68" s="3364"/>
      <c r="K68" s="1241" t="s">
        <v>1392</v>
      </c>
      <c r="L68" s="1241" t="e">
        <f>IF(M49&gt;10000,M49*0.5%,IF(AND(M49&gt;5000,M49&lt;=10000),M49*1%,IF(AND(M49&gt;1000,M49&lt;=5000),M49*2%,IF(AND(M49&gt;200,M49&lt;=1000),M49*3%,M49*5%))))</f>
        <v>#VALUE!</v>
      </c>
      <c r="M68" s="294" t="e">
        <f>ROUND(L68,1)</f>
        <v>#VALUE!</v>
      </c>
      <c r="N68" s="2322"/>
      <c r="Z68" s="1619"/>
      <c r="AI68" s="1557"/>
    </row>
    <row r="69" spans="1:35" ht="16.5" customHeight="1">
      <c r="A69" s="1668"/>
      <c r="B69" s="1669"/>
      <c r="C69" s="1670"/>
      <c r="D69" s="1671"/>
      <c r="E69" s="1672"/>
      <c r="F69" s="1462"/>
      <c r="G69" s="1462"/>
      <c r="H69" s="1463"/>
      <c r="I69" s="646"/>
      <c r="J69" s="3364"/>
      <c r="K69" s="1241" t="s">
        <v>1393</v>
      </c>
      <c r="L69" s="1241"/>
      <c r="M69" s="294" t="e">
        <f>ROUND(SUM(M63:M68),0)</f>
        <v>#VALUE!</v>
      </c>
      <c r="N69" s="2324" t="e">
        <f>M69/M49</f>
        <v>#VALUE!</v>
      </c>
      <c r="Z69" s="1619"/>
      <c r="AI69" s="1557"/>
    </row>
    <row r="70" spans="1:35" s="642" customFormat="1" ht="15" thickBot="1">
      <c r="A70" s="3326" t="s">
        <v>1394</v>
      </c>
      <c r="B70" s="3327"/>
      <c r="C70" s="3327"/>
      <c r="D70" s="3327"/>
      <c r="E70" s="3327"/>
      <c r="F70" s="3327"/>
      <c r="G70" s="3327"/>
      <c r="H70" s="3327"/>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05" t="s">
        <v>1375</v>
      </c>
      <c r="B71" s="3306"/>
      <c r="C71" s="1859"/>
      <c r="D71" s="1859"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1395</v>
      </c>
      <c r="C72" s="2346"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1396</v>
      </c>
      <c r="C73" s="2346"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1398</v>
      </c>
      <c r="C75" s="2349"/>
      <c r="D75" s="162" t="s">
        <v>26</v>
      </c>
      <c r="E75" s="176" t="s">
        <v>1399</v>
      </c>
      <c r="F75" s="2350"/>
      <c r="G75" s="176"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2">
        <v>0.05</v>
      </c>
      <c r="E76" s="3300" t="s">
        <v>1402</v>
      </c>
      <c r="F76" s="3274"/>
      <c r="G76" s="3274"/>
      <c r="H76" s="332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3">
        <f>'数据-取费表'!B48+'数据-取费表'!B49</f>
        <v>3.0499999999999999E-2</v>
      </c>
      <c r="E77" s="12" t="s">
        <v>1404</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4" t="e">
        <f ca="1">ROUND(D45*D78/(1+'数据-取费表'!C42),0)</f>
        <v>#REF!</v>
      </c>
      <c r="D78" s="2355">
        <f>'数据-取费表'!B43</f>
        <v>6.000000000000001E-3</v>
      </c>
      <c r="E78" s="3284" t="s">
        <v>1406</v>
      </c>
      <c r="F78" s="3285"/>
      <c r="G78" s="3285"/>
      <c r="H78" s="329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1407</v>
      </c>
      <c r="C79" s="2346"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1409</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26" t="s">
        <v>1410</v>
      </c>
      <c r="B83" s="3327"/>
      <c r="C83" s="3327"/>
      <c r="D83" s="3327"/>
      <c r="E83" s="3327"/>
      <c r="F83" s="3327"/>
      <c r="G83" s="3327"/>
      <c r="H83" s="332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05" t="s">
        <v>1375</v>
      </c>
      <c r="B84" s="3306"/>
      <c r="C84" s="1859"/>
      <c r="D84" s="1859"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1395</v>
      </c>
      <c r="C85" s="2346"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1396</v>
      </c>
      <c r="C86" s="2346" t="e">
        <f ca="1">IF(H88="仅含出让金",C87+C90+C91+C92+C93+C94,C87+C91+C92+C93+C94)</f>
        <v>#REF!</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1411</v>
      </c>
      <c r="C87" s="2354">
        <f>C88+C89</f>
        <v>0</v>
      </c>
      <c r="D87" s="2355"/>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1412</v>
      </c>
      <c r="C88" s="2360"/>
      <c r="D88" s="2355"/>
      <c r="E88" s="185" t="s">
        <v>1413</v>
      </c>
      <c r="F88" s="2142"/>
      <c r="G88" s="186" t="s">
        <v>1414</v>
      </c>
      <c r="H88" s="1680"/>
      <c r="I88" s="1677"/>
      <c r="J88" s="2300" t="s">
        <v>2284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1403</v>
      </c>
      <c r="C89" s="2354">
        <f>ROUND(C88*D89,0)</f>
        <v>0</v>
      </c>
      <c r="D89" s="2355">
        <f>'数据-取费表'!B48+'数据-取费表'!B49</f>
        <v>3.0499999999999999E-2</v>
      </c>
      <c r="E89" s="185"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1416</v>
      </c>
      <c r="C90" s="2360"/>
      <c r="D90" s="2355"/>
      <c r="E90" s="185" t="str">
        <f>IF(H88="-","土地取得成本中已包含该笔费用"," ")</f>
        <v xml:space="preserve"> </v>
      </c>
      <c r="F90" s="2142"/>
      <c r="G90" s="3366" t="s">
        <v>2129</v>
      </c>
      <c r="H90" s="3367"/>
      <c r="I90" s="1677"/>
      <c r="J90" s="2300" t="s">
        <v>2285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4">
        <f>IF(H91="——",成本法仓储!C33,I91)</f>
        <v>0</v>
      </c>
      <c r="D91" s="2355"/>
      <c r="E91" s="3284" t="s">
        <v>1419</v>
      </c>
      <c r="F91" s="3285"/>
      <c r="G91" s="3285"/>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4">
        <f>ROUND((C87+C90+C91)*D92,0)</f>
        <v>0</v>
      </c>
      <c r="D92" s="2361"/>
      <c r="E92" s="3284" t="s">
        <v>1422</v>
      </c>
      <c r="F92" s="3285"/>
      <c r="G92" s="3285"/>
      <c r="H92" s="3294"/>
      <c r="I92" s="1677"/>
      <c r="J92" s="2301" t="s">
        <v>2286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4" t="e">
        <f ca="1">ROUND(D45*D93/(1+'数据-取费表'!C42),0)</f>
        <v>#REF!</v>
      </c>
      <c r="D93" s="2355">
        <f>'数据-取费表'!B43</f>
        <v>6.000000000000001E-3</v>
      </c>
      <c r="E93" s="3284" t="s">
        <v>1406</v>
      </c>
      <c r="F93" s="3285"/>
      <c r="G93" s="3285"/>
      <c r="H93" s="329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0">
        <f>ROUND((C87+C90+C91)*D94,0)</f>
        <v>0</v>
      </c>
      <c r="D94" s="2355">
        <v>0.2</v>
      </c>
      <c r="E94" s="3295" t="s">
        <v>1426</v>
      </c>
      <c r="F94" s="3296"/>
      <c r="G94" s="3296"/>
      <c r="H94" s="329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1407</v>
      </c>
      <c r="C95" s="2346"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1409</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268" t="s">
        <v>1428</v>
      </c>
      <c r="B100" s="3269"/>
      <c r="C100" s="3269"/>
      <c r="D100" s="3286"/>
      <c r="E100" s="3269" t="s">
        <v>1429</v>
      </c>
      <c r="F100" s="3269"/>
      <c r="G100" s="3269"/>
      <c r="H100" s="3286"/>
      <c r="I100" s="121"/>
    </row>
    <row r="101" spans="1:35" ht="18.75" customHeight="1">
      <c r="A101" s="3347" t="s">
        <v>1430</v>
      </c>
      <c r="B101" s="3348"/>
      <c r="C101" s="2363" t="str">
        <f>C4</f>
        <v>收益法 (元)</v>
      </c>
      <c r="D101" s="2364" t="str">
        <f>D4</f>
        <v>比较法-住宅</v>
      </c>
      <c r="E101" s="3361" t="s">
        <v>1431</v>
      </c>
      <c r="F101" s="3318"/>
      <c r="G101" s="1683" t="s">
        <v>1432</v>
      </c>
      <c r="H101" s="2373" t="e">
        <f ca="1">H118</f>
        <v>#REF!</v>
      </c>
      <c r="I101" s="121"/>
    </row>
    <row r="102" spans="1:35" ht="18.75" customHeight="1">
      <c r="A102" s="3320" t="s">
        <v>1433</v>
      </c>
      <c r="B102" s="2362" t="s">
        <v>1432</v>
      </c>
      <c r="C102" s="2363">
        <f ca="1">IF(D32="楼面单价",ROUND(C19,0),C19)</f>
        <v>64.686800000000005</v>
      </c>
      <c r="D102" s="2364">
        <f ca="1">IF(D32="楼面单价",ROUND(D19,0),D19)</f>
        <v>112.4085</v>
      </c>
      <c r="E102" s="3361"/>
      <c r="F102" s="3318"/>
      <c r="G102" s="1683" t="s">
        <v>1434</v>
      </c>
      <c r="H102" s="2333" t="e">
        <f ca="1">I118</f>
        <v>#REF!</v>
      </c>
      <c r="I102" s="121"/>
    </row>
    <row r="103" spans="1:35" ht="42.75" customHeight="1">
      <c r="A103" s="3320"/>
      <c r="B103" s="2362" t="s">
        <v>1434</v>
      </c>
      <c r="C103" s="2365">
        <f ca="1">C20</f>
        <v>4179</v>
      </c>
      <c r="D103" s="2366">
        <f ca="1">D20</f>
        <v>7262</v>
      </c>
      <c r="E103" s="3355" t="s">
        <v>1435</v>
      </c>
      <c r="F103" s="3356"/>
      <c r="G103" s="1684" t="s">
        <v>1436</v>
      </c>
      <c r="H103" s="2373">
        <f>IF(D36="正常操作",H104+H105+H106,H105+H106)</f>
        <v>0</v>
      </c>
      <c r="I103" s="121"/>
    </row>
    <row r="104" spans="1:35" ht="18.75" customHeight="1">
      <c r="A104" s="3320" t="s">
        <v>1437</v>
      </c>
      <c r="B104" s="2367" t="s">
        <v>1432</v>
      </c>
      <c r="C104" s="2368" t="e">
        <f ca="1">H118</f>
        <v>#REF!</v>
      </c>
      <c r="D104" s="2369"/>
      <c r="E104" s="1551" t="s">
        <v>1438</v>
      </c>
      <c r="F104" s="1544"/>
      <c r="G104" s="1684" t="s">
        <v>1436</v>
      </c>
      <c r="H104" s="2374">
        <f>IF(D36="同一抵押权人同一抵押物续贷",C36&amp;"（续贷，未扣减，详见特别提示）",C36)</f>
        <v>0</v>
      </c>
      <c r="I104" s="121"/>
    </row>
    <row r="105" spans="1:35" ht="18.75" customHeight="1" thickBot="1">
      <c r="A105" s="3321"/>
      <c r="B105" s="2370" t="s">
        <v>1434</v>
      </c>
      <c r="C105" s="2371" t="e">
        <f ca="1">I118</f>
        <v>#REF!</v>
      </c>
      <c r="D105" s="2372"/>
      <c r="E105" s="1551" t="s">
        <v>1439</v>
      </c>
      <c r="F105" s="1544"/>
      <c r="G105" s="1684" t="s">
        <v>1436</v>
      </c>
      <c r="H105" s="2375">
        <f>C37</f>
        <v>0</v>
      </c>
      <c r="I105" s="121"/>
    </row>
    <row r="106" spans="1:35" ht="18.75" customHeight="1">
      <c r="A106" s="646" t="s">
        <v>1440</v>
      </c>
      <c r="B106" s="646"/>
      <c r="C106" s="646"/>
      <c r="D106" s="646"/>
      <c r="E106" s="1685" t="s">
        <v>1441</v>
      </c>
      <c r="F106" s="1544"/>
      <c r="G106" s="1684" t="s">
        <v>1436</v>
      </c>
      <c r="H106" s="2375">
        <f>C38</f>
        <v>0</v>
      </c>
      <c r="I106" s="121"/>
    </row>
    <row r="107" spans="1:35" ht="18.75" customHeight="1">
      <c r="A107" s="121"/>
      <c r="B107" s="121"/>
      <c r="C107" s="121"/>
      <c r="D107" s="121"/>
      <c r="E107" s="3317" t="str">
        <f>IF(项目基本情况!E8="已注销","——","3.房地产抵押价值")</f>
        <v>3.房地产抵押价值</v>
      </c>
      <c r="F107" s="3318"/>
      <c r="G107" s="1683" t="s">
        <v>1432</v>
      </c>
      <c r="H107" s="2373" t="e">
        <f ca="1">IF(E107="——","——",H101-H103)</f>
        <v>#REF!</v>
      </c>
      <c r="I107" s="121"/>
    </row>
    <row r="108" spans="1:35" ht="18.75" customHeight="1">
      <c r="A108" s="121"/>
      <c r="B108" s="121"/>
      <c r="C108" s="121"/>
      <c r="D108" s="121"/>
      <c r="E108" s="3317"/>
      <c r="F108" s="3318"/>
      <c r="G108" s="1683" t="s">
        <v>1434</v>
      </c>
      <c r="H108" s="2333">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3" t="s">
        <v>1432</v>
      </c>
      <c r="H109" s="2376" t="str">
        <f>IF(E109="——","——",H101-H105-H106)</f>
        <v>——</v>
      </c>
      <c r="I109" s="121"/>
    </row>
    <row r="110" spans="1:35" ht="18.75" customHeight="1">
      <c r="A110" s="121"/>
      <c r="B110" s="121"/>
      <c r="C110" s="121"/>
      <c r="D110" s="121"/>
      <c r="E110" s="3317"/>
      <c r="F110" s="3318"/>
      <c r="G110" s="1683" t="s">
        <v>1434</v>
      </c>
      <c r="H110" s="2333"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3" t="s">
        <v>1432</v>
      </c>
      <c r="H111" s="2373" t="str">
        <f>IF(E111="——","——",N59)</f>
        <v>——</v>
      </c>
      <c r="I111" s="121"/>
    </row>
    <row r="112" spans="1:35" ht="18.75" customHeight="1" thickBot="1">
      <c r="A112" s="121"/>
      <c r="B112" s="121"/>
      <c r="C112" s="121"/>
      <c r="D112" s="121"/>
      <c r="E112" s="3350"/>
      <c r="F112" s="3351"/>
      <c r="G112" s="1686" t="s">
        <v>1434</v>
      </c>
      <c r="H112" s="2377"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67"/>
      <c r="F114" s="1667"/>
      <c r="G114" s="1667"/>
      <c r="H114" s="1667"/>
      <c r="I114" s="646"/>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44" t="s">
        <v>1449</v>
      </c>
      <c r="E117" s="2144" t="s">
        <v>1450</v>
      </c>
      <c r="F117" s="2144" t="s">
        <v>1449</v>
      </c>
      <c r="G117" s="2144" t="s">
        <v>1451</v>
      </c>
      <c r="H117" s="2144" t="s">
        <v>1449</v>
      </c>
      <c r="I117" s="2144" t="s">
        <v>1451</v>
      </c>
    </row>
    <row r="118" spans="1:27" ht="24.75" customHeight="1">
      <c r="A118" s="2378" t="str">
        <f>项目基本情况!S2</f>
        <v>房地产</v>
      </c>
      <c r="B118" s="2144">
        <f>M18</f>
        <v>154.79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88" t="s">
        <v>1452</v>
      </c>
      <c r="B119" s="3288"/>
      <c r="C119" s="3288"/>
      <c r="D119" s="3328" t="e">
        <f ca="1">NUMBERSTRING(INT(D118*10000),2)&amp;"元整"</f>
        <v>#REF!</v>
      </c>
      <c r="E119" s="3330"/>
      <c r="F119" s="3328" t="e">
        <f ca="1">NUMBERSTRING(INT(F118*10000),2)&amp;"元整"</f>
        <v>#REF!</v>
      </c>
      <c r="G119" s="3330"/>
      <c r="H119" s="3328" t="e">
        <f ca="1">NUMBERSTRING(INT(H118*10000),2)&amp;"元整"</f>
        <v>#REF!</v>
      </c>
      <c r="I119" s="3330"/>
    </row>
    <row r="120" spans="1:27" ht="18.75" customHeight="1">
      <c r="A120" s="3352" t="str">
        <f>IF(项目基本情况!B9="房地产市场价值","",MID(E103,3,LEN(E103)-2))</f>
        <v/>
      </c>
      <c r="B120" s="3353"/>
      <c r="C120" s="3354"/>
      <c r="D120" s="3352">
        <f>H103</f>
        <v>0</v>
      </c>
      <c r="E120" s="3353"/>
      <c r="F120" s="3353"/>
      <c r="G120" s="3353"/>
      <c r="H120" s="3353"/>
      <c r="I120" s="3354"/>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8" t="s">
        <v>1452</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
      </c>
      <c r="B122" s="3319"/>
      <c r="C122" s="3319"/>
      <c r="D122" s="3352" t="e">
        <f ca="1">H107</f>
        <v>#REF!</v>
      </c>
      <c r="E122" s="3353"/>
      <c r="F122" s="3353"/>
      <c r="G122" s="3353"/>
      <c r="H122" s="3353"/>
      <c r="I122" s="3354"/>
      <c r="AA122" s="684"/>
    </row>
    <row r="123" spans="1:27" ht="18.75" customHeight="1">
      <c r="A123" s="3288" t="s">
        <v>1452</v>
      </c>
      <c r="B123" s="3288"/>
      <c r="C123" s="3288"/>
      <c r="D123" s="3328" t="e">
        <f ca="1">NUMBERSTRING(INT(D122*10000),2)&amp;"元整"</f>
        <v>#REF!</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1452</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1452</v>
      </c>
      <c r="B127" s="3288"/>
      <c r="C127" s="3288"/>
      <c r="D127" s="3328" t="e">
        <f>NUMBERSTRING(INT(D126*10000),2)&amp;"元整"</f>
        <v>#VALUE!</v>
      </c>
      <c r="E127" s="3329"/>
      <c r="F127" s="3329"/>
      <c r="G127" s="3329"/>
      <c r="H127" s="3329"/>
      <c r="I127" s="3330"/>
      <c r="AA127" s="684"/>
    </row>
    <row r="128" spans="1:27" ht="21.75" customHeight="1">
      <c r="A128" s="3335" t="s">
        <v>1453</v>
      </c>
      <c r="B128" s="3335"/>
      <c r="C128" s="3335"/>
      <c r="D128" s="3335"/>
      <c r="E128" s="3335"/>
      <c r="F128" s="3335"/>
      <c r="G128" s="3335"/>
      <c r="H128" s="3335"/>
      <c r="I128" s="3335"/>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C399-222A-4CB7-BCF9-04DBAC913E7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673</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ROUND(('基准地价修正-商业'!V2+'基准地价修正-商业'!V3+'基准地价修正-商业'!V4+'基准地价修正-商业'!V5)/10000,0)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8" t="s">
        <v>1544</v>
      </c>
    </row>
    <row r="43" spans="1:7" ht="13.5" customHeight="1">
      <c r="A43" s="730" t="s">
        <v>347</v>
      </c>
      <c r="B43" s="207" t="s">
        <v>1506</v>
      </c>
      <c r="C43" s="230" t="e">
        <f ca="1">ROUND(IF('数据-取费表'!B22&lt;=1,C39*F22*'数据-取费表'!B21/2,C39*(POWER((1+F22),'数据-取费表'!B21/2)-1)),0)</f>
        <v>#N/A</v>
      </c>
      <c r="D43" s="230"/>
      <c r="E43" s="230"/>
      <c r="F43" s="231"/>
      <c r="G43" s="3369"/>
    </row>
    <row r="44" spans="1:7" ht="13.5" customHeight="1">
      <c r="A44" s="730" t="s">
        <v>348</v>
      </c>
      <c r="B44" s="207" t="s">
        <v>1509</v>
      </c>
      <c r="C44" s="230">
        <f ca="1">ROUND(IF('数据-取费表'!B22&lt;=1,C40*F22*'数据-取费表'!B21/2,C40*(POWER((1+F22),'数据-取费表'!B21/2)-1)),4)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421F2236-0C6A-4CA2-8330-4DACB8A32F58}">
      <formula1>"需扣减承租人权益,——"</formula1>
    </dataValidation>
    <dataValidation type="list" allowBlank="1" showInputMessage="1" showErrorMessage="1" sqref="G2" xr:uid="{2F3481AC-3AD8-47B2-BB5A-CAF47044DD99}">
      <formula1>估价方法</formula1>
    </dataValidation>
    <dataValidation type="list" allowBlank="1" showInputMessage="1" showErrorMessage="1" sqref="G9" xr:uid="{5F4ED062-3929-43CC-B8B5-8699DEAF954E}">
      <formula1>"部分缴纳,全部缴纳"</formula1>
    </dataValidation>
    <dataValidation type="list" allowBlank="1" showInputMessage="1" showErrorMessage="1" sqref="B1" xr:uid="{A5F144F9-4610-49A4-89C0-3AA665387681}">
      <formula1>项目类型</formula1>
    </dataValidation>
    <dataValidation type="list" allowBlank="1" showInputMessage="1" showErrorMessage="1" sqref="G19" xr:uid="{97DA1F4A-E522-4A95-9980-B31238277D05}">
      <formula1>"已包含在土地取得成本中,未包含在土地取得成本中"</formula1>
    </dataValidation>
    <dataValidation type="list" allowBlank="1" showInputMessage="1" showErrorMessage="1" sqref="G8" xr:uid="{5D3ED040-5409-46BE-B20F-6EFCFDD04A25}">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86" t="str">
        <f>项目基本情况!B1</f>
        <v>房地产市场价值预评估</v>
      </c>
      <c r="C37" s="3186"/>
      <c r="D37" s="3186"/>
      <c r="E37" s="3186"/>
      <c r="F37" s="3186"/>
      <c r="G37" s="3186"/>
      <c r="H37" s="3186"/>
      <c r="I37" s="3186"/>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673</v>
      </c>
      <c r="C1" s="1713" t="s">
        <v>1563</v>
      </c>
      <c r="D1" s="190"/>
      <c r="E1" s="190"/>
      <c r="F1" s="190"/>
      <c r="G1" s="1058" t="e">
        <f>MATCH(B1,'数据-取费表'!A6:A16,0)+5</f>
        <v>#N/A</v>
      </c>
      <c r="H1" s="994" t="str">
        <f>IF(ISERROR(FIND("住宅",B1)),"非住宅","住宅")</f>
        <v>非住宅</v>
      </c>
    </row>
    <row r="2" spans="1:8" s="192" customFormat="1" ht="18" customHeight="1">
      <c r="A2" s="193" t="s">
        <v>1462</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28" t="s">
        <v>1472</v>
      </c>
      <c r="B6" s="207" t="s">
        <v>1473</v>
      </c>
      <c r="C6" s="208" t="e">
        <f>'基准地价修正-商业'!V2+'基准地价修正-商业'!V3+'基准地价修正-商业'!V4+'基准地价修正-商业'!V5</f>
        <v>#DIV/0!</v>
      </c>
      <c r="D6" s="209"/>
      <c r="E6" s="210"/>
      <c r="F6" s="210"/>
      <c r="G6" s="211"/>
    </row>
    <row r="7" spans="1:8" s="206" customFormat="1" ht="13.5" customHeight="1">
      <c r="A7" s="728" t="s">
        <v>1474</v>
      </c>
      <c r="B7" s="207" t="s">
        <v>1475</v>
      </c>
      <c r="C7" s="212" t="e">
        <f>ROUND(C6*F7,0)</f>
        <v>#DIV/0!</v>
      </c>
      <c r="D7" s="212"/>
      <c r="E7" s="210"/>
      <c r="F7" s="213">
        <f>IF(项目基本情况!B8="出让",0,'数据-取费表'!B48+'数据-取费表'!B49)</f>
        <v>3.0499999999999999E-2</v>
      </c>
      <c r="G7" s="211"/>
    </row>
    <row r="8" spans="1:8" s="215" customFormat="1">
      <c r="A8" s="728" t="s">
        <v>1476</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120</v>
      </c>
      <c r="F19" s="223"/>
      <c r="G19" s="1710" t="s">
        <v>3435</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0.03</v>
      </c>
      <c r="G22" s="226" t="str">
        <f>IF('数据-取费表'!B22&lt;=1,"单利计息","复利计息")</f>
        <v>复利计息</v>
      </c>
    </row>
    <row r="23" spans="1:7" s="206" customFormat="1" ht="13.5" customHeight="1">
      <c r="A23" s="730" t="s">
        <v>1472</v>
      </c>
      <c r="B23" s="207" t="s">
        <v>1583</v>
      </c>
      <c r="C23" s="230" t="e">
        <f ca="1">ROUND(IF('数据-取费表'!B22&lt;=1,C5*F22*'数据-取费表'!B22,C5*(POWER((1+F22),'数据-取费表'!B22)-1)),0)</f>
        <v>#DIV/0!</v>
      </c>
      <c r="D23" s="230"/>
      <c r="E23" s="230"/>
      <c r="F23" s="231"/>
      <c r="G23" s="232" t="s">
        <v>1584</v>
      </c>
    </row>
    <row r="24" spans="1:7" s="206" customFormat="1" ht="13.5" customHeight="1">
      <c r="A24" s="730"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0" t="s">
        <v>1476</v>
      </c>
      <c r="B25" s="207" t="s">
        <v>1587</v>
      </c>
      <c r="C25" s="230" t="e">
        <f ca="1">ROUND(IF('数据-取费表'!B22&lt;=1,C20*F22*'数据-取费表'!B22/2,C20*(POWER((1+F22),'数据-取费表'!B22/2)-1)),0)</f>
        <v>#DIV/0!</v>
      </c>
      <c r="D25" s="230"/>
      <c r="E25" s="233"/>
      <c r="F25" s="231"/>
      <c r="G25" s="234" t="s">
        <v>1588</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ROUND(IF('数据-取费表'!B22&lt;=1,C33*F22*'数据-取费表'!B20/2,C33*(POWER((1+F22),'数据-取费表'!B20/2)-1)),0)</f>
        <v>#N/A</v>
      </c>
      <c r="D42" s="230"/>
      <c r="E42" s="230"/>
      <c r="F42" s="231"/>
      <c r="G42" s="3368" t="s">
        <v>1591</v>
      </c>
    </row>
    <row r="43" spans="1:7" ht="13.5" customHeight="1">
      <c r="A43" s="730" t="s">
        <v>347</v>
      </c>
      <c r="B43" s="207" t="s">
        <v>1545</v>
      </c>
      <c r="C43" s="230" t="e">
        <f ca="1">ROUND(IF('数据-取费表'!B22&lt;=1,C39*F22*'数据-取费表'!B20/2,C39*(POWER((1+F22),'数据-取费表'!B20/2)-1)),0)</f>
        <v>#N/A</v>
      </c>
      <c r="D43" s="230"/>
      <c r="E43" s="230"/>
      <c r="F43" s="231"/>
      <c r="G43" s="3369"/>
    </row>
    <row r="44" spans="1:7" ht="13.5" customHeight="1">
      <c r="A44" s="730"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6"/>
      <c r="D1" s="1105"/>
      <c r="E1" s="2560"/>
      <c r="F1" s="2560"/>
      <c r="G1" s="2441"/>
      <c r="H1" s="2560"/>
      <c r="I1" s="2560"/>
      <c r="J1" s="2560"/>
      <c r="K1" s="2561">
        <f>MATCH(C1,'数据-取费表'!A6:A16,0)+5</f>
        <v>7</v>
      </c>
    </row>
    <row r="2" spans="1:33" ht="18" customHeight="1">
      <c r="A2" s="193" t="s">
        <v>1462</v>
      </c>
      <c r="B2" s="196">
        <f ca="1">C32</f>
        <v>-3</v>
      </c>
      <c r="C2" s="268" t="s">
        <v>1595</v>
      </c>
      <c r="D2" s="268"/>
      <c r="E2" s="2560"/>
      <c r="F2" s="2560"/>
      <c r="G2" s="2560"/>
      <c r="H2" s="2560"/>
      <c r="I2" s="2560"/>
      <c r="J2" s="2560"/>
      <c r="K2" s="2560"/>
    </row>
    <row r="3" spans="1:33" ht="18" customHeight="1" thickBot="1">
      <c r="A3" s="195" t="s">
        <v>1464</v>
      </c>
      <c r="B3" s="196">
        <f ca="1">ROUND(B2*10000/IF(C1="",'数据-汇总表'!E3,INDIRECT("'数据-取费表'!K"&amp;$K$1)),0)</f>
        <v>-194</v>
      </c>
      <c r="C3" s="268" t="s">
        <v>1596</v>
      </c>
      <c r="D3" s="268"/>
      <c r="E3" s="2560"/>
      <c r="F3" s="2560"/>
      <c r="G3" s="2560"/>
      <c r="H3" s="2560"/>
      <c r="I3" s="2560"/>
      <c r="J3" s="2560"/>
      <c r="K3" s="2560"/>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0.05</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154.79</v>
      </c>
      <c r="E14" s="21">
        <f>'数据-取费表'!B35</f>
        <v>120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154.79</v>
      </c>
      <c r="E17" s="21">
        <f>'数据-取费表'!B32</f>
        <v>0</v>
      </c>
      <c r="F17" s="754"/>
      <c r="G17" s="123"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3</v>
      </c>
      <c r="D18" s="792"/>
      <c r="E18" s="21"/>
      <c r="F18" s="752"/>
      <c r="G18" s="1716"/>
      <c r="H18" s="1102"/>
      <c r="I18" s="1717" t="s">
        <v>1625</v>
      </c>
      <c r="J18" s="755"/>
      <c r="K18" s="756"/>
    </row>
    <row r="19" spans="1:33" s="751" customFormat="1" ht="13.5" customHeight="1">
      <c r="A19" s="748" t="s">
        <v>360</v>
      </c>
      <c r="B19" s="749" t="s">
        <v>1626</v>
      </c>
      <c r="C19" s="21">
        <f ca="1">ROUND(D19*E19/10000,0)</f>
        <v>3</v>
      </c>
      <c r="D19" s="792">
        <f ca="1">IF(C1="",'数据-汇总表'!E5,IF(INDIRECT("'数据-取费表'!c"&amp;$K$1)="住宅",INDIRECT("'数据-取费表'!k"&amp;$K$1),0))</f>
        <v>154.79</v>
      </c>
      <c r="E19" s="21">
        <f>'数据-取费表'!B27</f>
        <v>170</v>
      </c>
      <c r="F19" s="752"/>
      <c r="G19" s="12"/>
      <c r="H19" s="1104"/>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3</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0.02</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0.02</v>
      </c>
      <c r="G23" s="5" t="s">
        <v>1633</v>
      </c>
      <c r="H23" s="745"/>
      <c r="I23" s="745"/>
      <c r="J23" s="745"/>
      <c r="K23" s="746"/>
    </row>
    <row r="24" spans="1:33" s="751" customFormat="1" ht="13.5" customHeight="1">
      <c r="A24" s="740" t="s">
        <v>1634</v>
      </c>
      <c r="B24" s="761" t="s">
        <v>1635</v>
      </c>
      <c r="C24" s="272">
        <f>ROUND(F24/(1+'数据-取费表'!C42),4)</f>
        <v>2.9000000000000001E-2</v>
      </c>
      <c r="D24" s="273" t="s">
        <v>12</v>
      </c>
      <c r="E24" s="273"/>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1641</v>
      </c>
      <c r="B28" s="1719" t="s">
        <v>1642</v>
      </c>
      <c r="C28" s="279">
        <f ca="1">C30</f>
        <v>0</v>
      </c>
      <c r="D28" s="272">
        <f ca="1">C29</f>
        <v>0</v>
      </c>
      <c r="E28" s="274" t="s">
        <v>12</v>
      </c>
      <c r="F28" s="280">
        <f ca="1">IF(C1="",'数据-取费表'!Q16,INDIRECT("'数据-取费表'!q"&amp;$K$1))</f>
        <v>0.1</v>
      </c>
      <c r="G28" s="765"/>
      <c r="H28" s="766"/>
      <c r="I28" s="766"/>
      <c r="J28" s="766"/>
      <c r="K28" s="55"/>
    </row>
    <row r="29" spans="1:33" s="283" customFormat="1" ht="13.5" customHeight="1">
      <c r="A29" s="748" t="s">
        <v>358</v>
      </c>
      <c r="B29" s="769" t="s">
        <v>1643</v>
      </c>
      <c r="C29" s="276">
        <f ca="1">ROUND((1+C24)*F28*'数据-取费表'!B24/'数据-取费表'!B20,4)</f>
        <v>0</v>
      </c>
      <c r="D29" s="276"/>
      <c r="E29" s="277"/>
      <c r="F29" s="282"/>
      <c r="G29" s="123" t="s">
        <v>1644</v>
      </c>
      <c r="H29" s="755"/>
      <c r="I29" s="755"/>
      <c r="J29" s="755"/>
      <c r="K29" s="756"/>
    </row>
    <row r="30" spans="1:33" s="283" customFormat="1" ht="13.5" customHeight="1">
      <c r="A30" s="748" t="s">
        <v>359</v>
      </c>
      <c r="B30" s="769" t="s">
        <v>1645</v>
      </c>
      <c r="C30" s="284">
        <f ca="1">ROUND((C21+C22+C23)*F28,0)</f>
        <v>0</v>
      </c>
      <c r="D30" s="276"/>
      <c r="E30" s="277"/>
      <c r="F30" s="282"/>
      <c r="G30" s="123"/>
      <c r="H30" s="755"/>
      <c r="I30" s="755"/>
      <c r="J30" s="755"/>
      <c r="K30" s="756"/>
    </row>
    <row r="31" spans="1:33" s="751" customFormat="1" ht="13.5" customHeight="1" thickBot="1">
      <c r="A31" s="1720"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9" t="s">
        <v>1649</v>
      </c>
      <c r="B32" s="775"/>
      <c r="C32" s="776">
        <f ca="1">ROUND((C4-C21-C22-C23-C25-C28-C31)/(1+C24+D25+D28),0)</f>
        <v>-3</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3401</v>
      </c>
      <c r="D1" s="1267" t="s">
        <v>43</v>
      </c>
      <c r="E1" s="1268" t="s">
        <v>678</v>
      </c>
      <c r="F1" s="995">
        <f ca="1">J53</f>
        <v>70</v>
      </c>
      <c r="G1" s="1282">
        <f>MATCH(C1,'数据-取费表'!A6:A16,0)+5</f>
        <v>6</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f ca="1">ROUND(D2/10000,4)</f>
        <v>64.686800000000005</v>
      </c>
      <c r="C2" s="1285" t="s">
        <v>805</v>
      </c>
      <c r="D2" s="1371">
        <f ca="1">C40+J29+L46</f>
        <v>646868</v>
      </c>
      <c r="E2" s="1291" t="s">
        <v>880</v>
      </c>
      <c r="F2" s="1292"/>
      <c r="G2" s="2471"/>
      <c r="H2" s="2461"/>
      <c r="I2" s="2461"/>
      <c r="J2" s="2461"/>
      <c r="K2" s="2462"/>
      <c r="L2" s="2461"/>
      <c r="M2" s="2461"/>
    </row>
    <row r="3" spans="1:37" ht="18" customHeight="1" thickBot="1">
      <c r="A3" s="1293" t="s">
        <v>806</v>
      </c>
      <c r="B3" s="1294">
        <f ca="1">IF(ISERROR(D2/F43),0,ROUND(D2/F43,0))</f>
        <v>4179</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19464</v>
      </c>
      <c r="D5" s="1269" t="s">
        <v>693</v>
      </c>
      <c r="E5" s="1004"/>
      <c r="F5" s="1005"/>
      <c r="G5" s="1288"/>
      <c r="H5" s="291">
        <v>1</v>
      </c>
      <c r="I5" s="292" t="s">
        <v>692</v>
      </c>
      <c r="J5" s="1003">
        <f ca="1">J6+J10+J12</f>
        <v>0</v>
      </c>
      <c r="K5" s="1269" t="s">
        <v>693</v>
      </c>
      <c r="L5" s="1004"/>
      <c r="M5" s="1005"/>
    </row>
    <row r="6" spans="1:37" ht="18" customHeight="1">
      <c r="A6" s="1002" t="s">
        <v>398</v>
      </c>
      <c r="B6" s="3371" t="s">
        <v>694</v>
      </c>
      <c r="C6" s="1007">
        <f ca="1">ROUND(F6*F8*F7*(1-F9),0)</f>
        <v>19440</v>
      </c>
      <c r="D6" s="147" t="s">
        <v>2106</v>
      </c>
      <c r="E6" s="294" t="s">
        <v>696</v>
      </c>
      <c r="F6" s="295">
        <f ca="1">INDIRECT("'数据-取费表'!u"&amp;$G$1)</f>
        <v>1800</v>
      </c>
      <c r="G6" s="1288"/>
      <c r="H6" s="1002" t="s">
        <v>398</v>
      </c>
      <c r="I6" s="3371" t="s">
        <v>694</v>
      </c>
      <c r="J6" s="293">
        <f ca="1">ROUND(M6*M8*M7*(1-M9),0)</f>
        <v>0</v>
      </c>
      <c r="K6" s="1280" t="s">
        <v>2107</v>
      </c>
      <c r="L6" s="294" t="s">
        <v>696</v>
      </c>
      <c r="M6" s="295">
        <f ca="1">INDIRECT("'数据-取费表'!z"&amp;$G$1)</f>
        <v>0</v>
      </c>
    </row>
    <row r="7" spans="1:37" ht="18" customHeight="1">
      <c r="A7" s="1006"/>
      <c r="B7" s="3372"/>
      <c r="C7" s="1008"/>
      <c r="D7" s="299"/>
      <c r="E7" s="1009" t="s">
        <v>697</v>
      </c>
      <c r="F7" s="295">
        <f ca="1">IF(INDIRECT("'数据-取费表'!ah"&amp;$G$1)="",INDIRECT("'数据-取费表'!k"&amp;$G$1),INDIRECT("'数据-取费表'!ah"&amp;$G$1))</f>
        <v>1</v>
      </c>
      <c r="G7" s="1288"/>
      <c r="H7" s="296"/>
      <c r="I7" s="3372"/>
      <c r="J7" s="298"/>
      <c r="K7" s="299"/>
      <c r="L7" s="294" t="s">
        <v>697</v>
      </c>
      <c r="M7" s="295">
        <f ca="1">F7</f>
        <v>1</v>
      </c>
    </row>
    <row r="8" spans="1:37" ht="18" customHeight="1">
      <c r="A8" s="296"/>
      <c r="B8" s="3372"/>
      <c r="C8" s="298"/>
      <c r="D8" s="299"/>
      <c r="E8" s="294" t="s">
        <v>698</v>
      </c>
      <c r="F8" s="295">
        <f ca="1">INDIRECT("'数据-取费表'!ai"&amp;$G$1)</f>
        <v>12</v>
      </c>
      <c r="G8" s="1288"/>
      <c r="H8" s="296"/>
      <c r="I8" s="3372"/>
      <c r="J8" s="298"/>
      <c r="K8" s="299"/>
      <c r="L8" s="294" t="s">
        <v>698</v>
      </c>
      <c r="M8" s="295">
        <f ca="1">INDIRECT("'数据-取费表'!ai"&amp;$G$1)</f>
        <v>12</v>
      </c>
    </row>
    <row r="9" spans="1:37" ht="18" customHeight="1">
      <c r="A9" s="296"/>
      <c r="B9" s="3373"/>
      <c r="C9" s="298"/>
      <c r="D9" s="299"/>
      <c r="E9" s="294" t="s">
        <v>699</v>
      </c>
      <c r="F9" s="304">
        <f ca="1">INDIRECT("'数据-取费表'!w"&amp;$G$1)</f>
        <v>0.1</v>
      </c>
      <c r="G9" s="1288"/>
      <c r="H9" s="296"/>
      <c r="I9" s="3373"/>
      <c r="J9" s="298"/>
      <c r="K9" s="299"/>
      <c r="L9" s="305" t="s">
        <v>699</v>
      </c>
      <c r="M9" s="306">
        <f ca="1">INDIRECT("'数据-取费表'!ab"&amp;$G$1)</f>
        <v>0</v>
      </c>
    </row>
    <row r="10" spans="1:37" ht="18" customHeight="1">
      <c r="A10" s="1002" t="s">
        <v>402</v>
      </c>
      <c r="B10" s="1270" t="s">
        <v>700</v>
      </c>
      <c r="C10" s="308">
        <f ca="1">ROUND(IF(F10="押一",C6/12*F11,IF(F10="押二",C6/12*2*F11,IF(F10="押三",C6/12*3*F11,C11*F11))),0)</f>
        <v>24</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255208</v>
      </c>
      <c r="D13" s="1014" t="s">
        <v>705</v>
      </c>
      <c r="E13" s="1014" t="s">
        <v>706</v>
      </c>
      <c r="F13" s="1015">
        <f ca="1">INDIRECT("'数据-取费表'!y"&amp;$G$1)</f>
        <v>0.75</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232185</v>
      </c>
      <c r="D14" s="1253" t="s">
        <v>708</v>
      </c>
      <c r="E14" s="1251"/>
      <c r="F14" s="311"/>
      <c r="G14" s="1288"/>
      <c r="H14" s="924" t="s">
        <v>398</v>
      </c>
      <c r="I14" s="294" t="s">
        <v>709</v>
      </c>
      <c r="J14" s="21">
        <f ca="1">C29</f>
        <v>340277</v>
      </c>
      <c r="K14" s="12"/>
      <c r="L14" s="755"/>
      <c r="M14" s="756"/>
    </row>
    <row r="15" spans="1:37" s="1300" customFormat="1" ht="18" customHeight="1" thickBot="1">
      <c r="A15" s="924" t="s">
        <v>399</v>
      </c>
      <c r="B15" s="294" t="s">
        <v>710</v>
      </c>
      <c r="C15" s="21">
        <f ca="1">ROUND(C14*F15,0)</f>
        <v>6966</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11609</v>
      </c>
      <c r="D16" s="294" t="s">
        <v>711</v>
      </c>
      <c r="E16" s="294" t="s">
        <v>712</v>
      </c>
      <c r="F16" s="314">
        <f ca="1">IF(INDIRECT("'数据-取费表'!c"&amp;$G$1)="住宅",'数据-取费表'!B34,0)</f>
        <v>0.05</v>
      </c>
      <c r="G16" s="1288"/>
      <c r="H16" s="1012" t="s">
        <v>393</v>
      </c>
      <c r="I16" s="1013" t="s">
        <v>714</v>
      </c>
      <c r="J16" s="302">
        <f ca="1">ROUND(J17+J22+J23+J24,0)</f>
        <v>681</v>
      </c>
      <c r="K16" s="1020" t="s">
        <v>715</v>
      </c>
      <c r="L16" s="1021"/>
      <c r="M16" s="1005"/>
    </row>
    <row r="17" spans="1:37" s="1300" customFormat="1" ht="18" customHeight="1">
      <c r="A17" s="924" t="s">
        <v>681</v>
      </c>
      <c r="B17" s="294" t="s">
        <v>716</v>
      </c>
      <c r="C17" s="21">
        <f ca="1">ROUND(F17*(F43+INDIRECT("'数据-取费表'!S"&amp;$G$1)),0)</f>
        <v>18575</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3483</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272818</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5456</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681</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8349</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f ca="1">ROUND(J5*M24,0)</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-681</v>
      </c>
      <c r="K25" s="1028" t="s">
        <v>753</v>
      </c>
      <c r="L25" s="1029"/>
      <c r="M25" s="1030"/>
    </row>
    <row r="26" spans="1:37" ht="18" customHeight="1">
      <c r="A26" s="924" t="s">
        <v>397</v>
      </c>
      <c r="B26" s="294" t="s">
        <v>754</v>
      </c>
      <c r="C26" s="21">
        <f ca="1">ROUND((C19+C20)*F26,0)</f>
        <v>27827</v>
      </c>
      <c r="D26" s="315" t="s">
        <v>755</v>
      </c>
      <c r="E26" s="305" t="s">
        <v>756</v>
      </c>
      <c r="F26" s="304">
        <f ca="1">INDIRECT("'数据-取费表'!q"&amp;$G$1)</f>
        <v>0.1</v>
      </c>
      <c r="G26" s="1288"/>
      <c r="H26" s="291" t="s">
        <v>395</v>
      </c>
      <c r="I26" s="292" t="s">
        <v>757</v>
      </c>
      <c r="J26" s="293">
        <f ca="1">IF(J5&lt;&gt;0,ROUND(J25*(1-((1+M28)/(1+M26))^M27)/(M26-M28),0),0)</f>
        <v>0</v>
      </c>
      <c r="K26" s="316" t="s">
        <v>758</v>
      </c>
      <c r="L26" s="294" t="s">
        <v>759</v>
      </c>
      <c r="M26" s="304">
        <f ca="1">INDIRECT("'数据-取费表'!I"&amp;$G$1)</f>
        <v>2.5000000000000001E-2</v>
      </c>
    </row>
    <row r="27" spans="1:37" ht="18" customHeight="1">
      <c r="A27" s="924" t="s">
        <v>399</v>
      </c>
      <c r="B27" s="294" t="s">
        <v>760</v>
      </c>
      <c r="C27" s="21">
        <f ca="1">ROUND(F21*F26,4)</f>
        <v>2E-3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340277</v>
      </c>
      <c r="D29" s="1025"/>
      <c r="E29" s="1023"/>
      <c r="F29" s="1026"/>
      <c r="G29" s="1299"/>
      <c r="H29" s="325" t="s">
        <v>396</v>
      </c>
      <c r="I29" s="326" t="s">
        <v>768</v>
      </c>
      <c r="J29" s="327">
        <f ca="1">ROUND(J26/(1+F40)^F41,0)</f>
        <v>0</v>
      </c>
      <c r="K29" s="328" t="s">
        <v>769</v>
      </c>
      <c r="L29" s="329"/>
      <c r="M29" s="330">
        <f ca="1">INDIRECT("'数据-取费表'!k"&amp;$G$1)</f>
        <v>154.79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4390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3259</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1037</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2222</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681</v>
      </c>
      <c r="D36" s="1252" t="s">
        <v>771</v>
      </c>
      <c r="E36" s="294" t="s">
        <v>712</v>
      </c>
      <c r="F36" s="320">
        <f ca="1">INDIRECT("'数据-取费表'!Ak"&amp;$G$1)</f>
        <v>2E-3</v>
      </c>
      <c r="G36" s="1288"/>
      <c r="H36" s="2466"/>
      <c r="I36" s="1301"/>
      <c r="J36" s="1302"/>
      <c r="K36" s="2323"/>
      <c r="L36" s="2466"/>
      <c r="M36" s="2466"/>
    </row>
    <row r="37" spans="1:18" ht="18" customHeight="1">
      <c r="A37" s="924" t="s">
        <v>437</v>
      </c>
      <c r="B37" s="294" t="s">
        <v>742</v>
      </c>
      <c r="C37" s="21">
        <f ca="1">ROUND(C13*F37,0)</f>
        <v>255</v>
      </c>
      <c r="D37" s="1252" t="s">
        <v>743</v>
      </c>
      <c r="E37" s="294" t="s">
        <v>712</v>
      </c>
      <c r="F37" s="321">
        <f ca="1">INDIRECT("'数据-取费表'!Al"&amp;$G$1)</f>
        <v>1E-3</v>
      </c>
      <c r="G37" s="1288"/>
      <c r="H37" s="2466"/>
      <c r="I37" s="1301"/>
      <c r="J37" s="1302"/>
      <c r="K37" s="2323"/>
      <c r="L37" s="2466"/>
      <c r="M37" s="2466"/>
    </row>
    <row r="38" spans="1:18" ht="18" customHeight="1" thickBot="1">
      <c r="A38" s="1022" t="s">
        <v>683</v>
      </c>
      <c r="B38" s="1023" t="s">
        <v>728</v>
      </c>
      <c r="C38" s="1024">
        <f ca="1">ROUND(C5*F38,0)</f>
        <v>195</v>
      </c>
      <c r="D38" s="1025" t="s">
        <v>748</v>
      </c>
      <c r="E38" s="1023" t="s">
        <v>712</v>
      </c>
      <c r="F38" s="1019">
        <f ca="1">INDIRECT("'数据-取费表'!Am"&amp;$G$1)</f>
        <v>0.01</v>
      </c>
      <c r="G38" s="1288"/>
      <c r="H38" s="2466"/>
      <c r="I38" s="1301"/>
      <c r="J38" s="1302"/>
      <c r="K38" s="2464"/>
      <c r="L38" s="2466"/>
      <c r="M38" s="2466"/>
    </row>
    <row r="39" spans="1:18" ht="24.6" customHeight="1" thickTop="1">
      <c r="A39" s="1012" t="s">
        <v>394</v>
      </c>
      <c r="B39" s="1027" t="s">
        <v>752</v>
      </c>
      <c r="C39" s="302">
        <f ca="1">C5-C30</f>
        <v>15074</v>
      </c>
      <c r="D39" s="1028" t="s">
        <v>753</v>
      </c>
      <c r="E39" s="1029"/>
      <c r="F39" s="1030"/>
      <c r="G39" s="1288"/>
      <c r="H39" s="2466"/>
      <c r="I39" s="1301"/>
      <c r="J39" s="1302"/>
      <c r="K39" s="2464"/>
      <c r="L39" s="2466"/>
      <c r="M39" s="2466"/>
    </row>
    <row r="40" spans="1:18" ht="18" customHeight="1">
      <c r="A40" s="291" t="s">
        <v>395</v>
      </c>
      <c r="B40" s="292" t="s">
        <v>774</v>
      </c>
      <c r="C40" s="293">
        <f ca="1">ROUND(C39*(1-((1+F42)/(1+F40))^F41)/(F40-F42),0)</f>
        <v>646868</v>
      </c>
      <c r="D40" s="316" t="s">
        <v>758</v>
      </c>
      <c r="E40" s="294" t="s">
        <v>759</v>
      </c>
      <c r="F40" s="304">
        <f ca="1">INDIRECT("'数据-取费表'!I"&amp;$G$1)</f>
        <v>2.5000000000000001E-2</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70</v>
      </c>
      <c r="G41" s="1288"/>
      <c r="H41" s="121"/>
      <c r="I41" s="1301"/>
      <c r="J41" s="1302"/>
      <c r="K41" s="2323"/>
      <c r="L41" s="121"/>
      <c r="M41" s="121"/>
    </row>
    <row r="42" spans="1:18" ht="18" customHeight="1">
      <c r="A42" s="300"/>
      <c r="B42" s="301"/>
      <c r="C42" s="302"/>
      <c r="D42" s="319"/>
      <c r="E42" s="294" t="s">
        <v>766</v>
      </c>
      <c r="F42" s="304">
        <f ca="1">INDIRECT("'数据-取费表'!v"&amp;$G$1)</f>
        <v>0.01</v>
      </c>
      <c r="G42" s="1288"/>
      <c r="H42" s="121"/>
      <c r="I42" s="1301"/>
      <c r="J42" s="1302"/>
      <c r="K42" s="2323"/>
      <c r="L42" s="121"/>
      <c r="M42" s="121"/>
    </row>
    <row r="43" spans="1:18" ht="18" customHeight="1" thickBot="1">
      <c r="A43" s="325" t="s">
        <v>396</v>
      </c>
      <c r="B43" s="326" t="s">
        <v>776</v>
      </c>
      <c r="C43" s="327">
        <f ca="1">ROUND(C40/F43,0)</f>
        <v>4179</v>
      </c>
      <c r="D43" s="328" t="s">
        <v>777</v>
      </c>
      <c r="E43" s="329" t="s">
        <v>778</v>
      </c>
      <c r="F43" s="330">
        <f ca="1">INDIRECT("'数据-取费表'!k"&amp;$G$1)</f>
        <v>154.79</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f ca="1">ROUND((C68-C40)/10000,4)</f>
        <v>-67.766000000000005</v>
      </c>
      <c r="D45" s="3121" t="s">
        <v>3348</v>
      </c>
      <c r="E45" s="1303"/>
      <c r="F45" s="1303"/>
      <c r="O45" s="1306" t="s">
        <v>808</v>
      </c>
      <c r="P45" s="1362"/>
      <c r="Q45" s="1362"/>
      <c r="R45" s="1362"/>
    </row>
    <row r="46" spans="1:18" s="1288" customFormat="1" ht="13.5" thickBot="1">
      <c r="A46" s="1307" t="s">
        <v>809</v>
      </c>
      <c r="C46" s="1308">
        <f ca="1">ROUND(C45,0)</f>
        <v>-68</v>
      </c>
      <c r="D46" s="1309" t="str">
        <f>C2</f>
        <v>万元</v>
      </c>
      <c r="I46" s="1310" t="s">
        <v>810</v>
      </c>
      <c r="J46" s="1311"/>
      <c r="K46" s="1312"/>
      <c r="L46" s="1313">
        <f>IF(M47="住宅",0,IF(L48&gt;J51,L60,J60))</f>
        <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f ca="1">INDIRECT("'数据-取费表'!d"&amp;$G$1)</f>
        <v>70</v>
      </c>
      <c r="M47" s="1284" t="str">
        <f>IF(ISNUMBER(FIND("住宅",C1)),"住宅","非住宅")</f>
        <v>住宅</v>
      </c>
      <c r="O47" s="1321" t="s">
        <v>403</v>
      </c>
      <c r="P47" s="1322" t="s">
        <v>817</v>
      </c>
      <c r="Q47" s="1323">
        <f ca="1">C40+J29</f>
        <v>646868</v>
      </c>
      <c r="R47" s="1323" t="s">
        <v>818</v>
      </c>
    </row>
    <row r="48" spans="1:18" s="1288" customFormat="1" ht="28.5" thickBot="1">
      <c r="A48" s="1043" t="s">
        <v>438</v>
      </c>
      <c r="B48" s="292" t="s">
        <v>692</v>
      </c>
      <c r="C48" s="1264">
        <f ca="1">C49+C53+C55</f>
        <v>0</v>
      </c>
      <c r="D48" s="1045"/>
      <c r="E48" s="1046"/>
      <c r="F48" s="904"/>
      <c r="G48" s="681"/>
      <c r="H48" s="682"/>
      <c r="I48" s="1324" t="s">
        <v>819</v>
      </c>
      <c r="J48" s="1325" t="s">
        <v>3448</v>
      </c>
      <c r="K48" s="1326" t="s">
        <v>820</v>
      </c>
      <c r="L48" s="1327">
        <f ca="1">INDIRECT("'数据-取费表'!f"&amp;$G$1)</f>
        <v>70</v>
      </c>
      <c r="O48" s="1321" t="s">
        <v>404</v>
      </c>
      <c r="P48" s="1322" t="s">
        <v>821</v>
      </c>
      <c r="Q48" s="1323" t="str">
        <f ca="1">J60</f>
        <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v>2022</v>
      </c>
      <c r="K49" s="1326" t="s">
        <v>824</v>
      </c>
      <c r="L49" s="1329"/>
      <c r="O49" s="1330" t="s">
        <v>405</v>
      </c>
      <c r="P49" s="1322" t="s">
        <v>825</v>
      </c>
      <c r="Q49" s="1323">
        <f ca="1">C29</f>
        <v>340277</v>
      </c>
      <c r="R49" s="1323" t="s">
        <v>818</v>
      </c>
    </row>
    <row r="50" spans="1:18" s="1288" customFormat="1" ht="13.5" thickBot="1">
      <c r="A50" s="918"/>
      <c r="B50" s="921"/>
      <c r="C50" s="922"/>
      <c r="D50" s="895"/>
      <c r="E50" s="989" t="s">
        <v>697</v>
      </c>
      <c r="F50" s="990">
        <f ca="1">F7</f>
        <v>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100149</v>
      </c>
      <c r="M51" s="1337"/>
      <c r="O51" s="1330" t="s">
        <v>407</v>
      </c>
      <c r="P51" s="1322" t="s">
        <v>831</v>
      </c>
      <c r="Q51" s="1333">
        <f>J52</f>
        <v>0.05</v>
      </c>
      <c r="R51" s="1323"/>
    </row>
    <row r="52" spans="1:18" s="1288" customFormat="1" ht="13.5" thickBot="1">
      <c r="A52" s="919"/>
      <c r="B52" s="921"/>
      <c r="C52" s="922"/>
      <c r="D52" s="895"/>
      <c r="E52" s="923" t="s">
        <v>699</v>
      </c>
      <c r="F52" s="987"/>
      <c r="I52" s="1338" t="s">
        <v>832</v>
      </c>
      <c r="J52" s="1339">
        <f>'数据-取费表'!J6</f>
        <v>0.05</v>
      </c>
      <c r="K52" s="1338" t="s">
        <v>833</v>
      </c>
      <c r="L52" s="1339"/>
      <c r="O52" s="1330" t="s">
        <v>408</v>
      </c>
      <c r="P52" s="1322" t="s">
        <v>834</v>
      </c>
      <c r="Q52" s="1323">
        <f ca="1">J53</f>
        <v>70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70</v>
      </c>
      <c r="K53" s="3374" t="s">
        <v>837</v>
      </c>
      <c r="L53" s="3375"/>
      <c r="O53" s="1321" t="s">
        <v>409</v>
      </c>
      <c r="P53" s="1322" t="s">
        <v>838</v>
      </c>
      <c r="Q53" s="1323">
        <f ca="1">Q47+Q48</f>
        <v>646868</v>
      </c>
      <c r="R53" s="1323" t="s">
        <v>410</v>
      </c>
    </row>
    <row r="54" spans="1:18" s="1288" customFormat="1" ht="13.5" thickBot="1">
      <c r="A54" s="917"/>
      <c r="B54" s="1373" t="s">
        <v>891</v>
      </c>
      <c r="C54" s="901"/>
      <c r="D54" s="150"/>
      <c r="E54" s="1278"/>
      <c r="F54" s="1341"/>
      <c r="I54" s="13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255208</v>
      </c>
      <c r="D56" s="1348"/>
      <c r="E56" s="1349"/>
      <c r="F56" s="1341"/>
      <c r="I56" s="1350" t="s">
        <v>842</v>
      </c>
      <c r="J56" s="1351" t="s">
        <v>3449</v>
      </c>
      <c r="K56" s="1324" t="s">
        <v>843</v>
      </c>
      <c r="L56" s="1327">
        <f ca="1">IF(L48&lt;J51,"——",L48-J51)</f>
        <v>13</v>
      </c>
      <c r="O56" s="1321" t="s">
        <v>403</v>
      </c>
      <c r="P56" s="1322" t="s">
        <v>817</v>
      </c>
      <c r="Q56" s="1323">
        <f ca="1">C40+J29</f>
        <v>646868</v>
      </c>
      <c r="R56" s="1323" t="s">
        <v>818</v>
      </c>
    </row>
    <row r="57" spans="1:18" s="1288" customFormat="1" ht="24.75" thickBot="1">
      <c r="A57" s="1352"/>
      <c r="B57" s="892" t="s">
        <v>767</v>
      </c>
      <c r="C57" s="230">
        <f ca="1">C29</f>
        <v>340277</v>
      </c>
      <c r="D57" s="1353"/>
      <c r="E57" s="1354"/>
      <c r="F57" s="1355"/>
      <c r="I57" s="1356" t="s">
        <v>844</v>
      </c>
      <c r="J57" s="1357" t="str">
        <f ca="1">IF(OR(M47="住宅",J51&lt;L48,J56="是"),"——",J51-L48)</f>
        <v>——</v>
      </c>
      <c r="K57" s="1324" t="s">
        <v>892</v>
      </c>
      <c r="L57" s="1327">
        <f ca="1">IF(L48&lt;J51,"——",IF(L55="比较法",L49,IF(L55="基准地价",L50,L51)))</f>
        <v>100149</v>
      </c>
      <c r="O57" s="1321" t="s">
        <v>404</v>
      </c>
      <c r="P57" s="1322" t="s">
        <v>846</v>
      </c>
      <c r="Q57" s="1323">
        <f ca="1">L60</f>
        <v>0</v>
      </c>
      <c r="R57" s="1323" t="s">
        <v>847</v>
      </c>
    </row>
    <row r="58" spans="1:18" s="1288" customFormat="1" ht="24.75" thickBot="1">
      <c r="A58" s="307" t="s">
        <v>393</v>
      </c>
      <c r="B58" s="900" t="s">
        <v>714</v>
      </c>
      <c r="C58" s="308">
        <f ca="1">ROUND(C59+C64+C65+C66,0)</f>
        <v>936</v>
      </c>
      <c r="D58" s="902" t="s">
        <v>715</v>
      </c>
      <c r="E58" s="903"/>
      <c r="F58" s="904"/>
      <c r="I58" s="1356" t="s">
        <v>848</v>
      </c>
      <c r="J58" s="1358" t="e">
        <f ca="1">IF(J55&lt;0.4,0.4,J55)</f>
        <v>#VALUE!</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IF(项目基本情况!B11="自然人","——",IF(D61="按租金收入计税",ROUND(C49*F61/(1+'数据-取费表'!C42),0),IF(D61="按房产原值计税",ROUND(C57*F61*0.7,0),INDIRECT("'数据-取费表'!Aj"&amp;$G$1))))</f>
        <v>0</v>
      </c>
      <c r="D61" s="1274" t="s">
        <v>3331</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IF(项目基本情况!B11="自然人","——",ROUND(F62*F63,0))</f>
        <v>0</v>
      </c>
      <c r="D62" s="907" t="s">
        <v>731</v>
      </c>
      <c r="E62" s="892" t="s">
        <v>732</v>
      </c>
      <c r="F62" s="317">
        <f t="shared" si="0"/>
        <v>0</v>
      </c>
      <c r="I62" s="1363" t="s">
        <v>858</v>
      </c>
      <c r="J62" s="610" t="s">
        <v>859</v>
      </c>
      <c r="K62" s="610" t="s">
        <v>860</v>
      </c>
      <c r="L62" s="610" t="s">
        <v>861</v>
      </c>
      <c r="M62" s="1364" t="s">
        <v>862</v>
      </c>
      <c r="O62" s="1321" t="s">
        <v>409</v>
      </c>
      <c r="P62" s="1322" t="s">
        <v>838</v>
      </c>
      <c r="Q62" s="1323">
        <f ca="1">Q56+Q57</f>
        <v>646868</v>
      </c>
      <c r="R62" s="1323" t="s">
        <v>410</v>
      </c>
    </row>
    <row r="63" spans="1:18" s="1288" customFormat="1" ht="13.5" thickBot="1">
      <c r="A63" s="318"/>
      <c r="B63" s="898"/>
      <c r="C63" s="26"/>
      <c r="D63" s="908"/>
      <c r="E63" s="892" t="s">
        <v>736</v>
      </c>
      <c r="F63" s="295">
        <f t="shared" ca="1" si="0"/>
        <v>0</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ROUND(C57*F64,0)</f>
        <v>681</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255</v>
      </c>
      <c r="D65" s="906" t="s">
        <v>743</v>
      </c>
      <c r="E65" s="892" t="s">
        <v>712</v>
      </c>
      <c r="F65" s="321">
        <f t="shared" ca="1" si="0"/>
        <v>1E-3</v>
      </c>
      <c r="I65" s="1363" t="s">
        <v>867</v>
      </c>
      <c r="J65" s="610">
        <v>40</v>
      </c>
      <c r="K65" s="610">
        <v>30</v>
      </c>
      <c r="L65" s="610">
        <v>50</v>
      </c>
      <c r="M65" s="1365">
        <v>0.02</v>
      </c>
      <c r="O65" s="1321" t="s">
        <v>403</v>
      </c>
      <c r="P65" s="1322" t="s">
        <v>817</v>
      </c>
      <c r="Q65" s="1323">
        <f ca="1">C40+J29</f>
        <v>646868</v>
      </c>
      <c r="R65" s="1323" t="s">
        <v>818</v>
      </c>
    </row>
    <row r="66" spans="1:18" s="1288" customFormat="1" ht="16.5" thickBot="1">
      <c r="A66" s="924" t="s">
        <v>793</v>
      </c>
      <c r="B66" s="892" t="s">
        <v>728</v>
      </c>
      <c r="C66" s="21">
        <f ca="1">ROUND(C48*F66,0)</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-936</v>
      </c>
      <c r="D67" s="905" t="s">
        <v>753</v>
      </c>
      <c r="E67" s="910"/>
      <c r="F67" s="911"/>
      <c r="O67" s="1330" t="s">
        <v>405</v>
      </c>
      <c r="P67" s="1322" t="s">
        <v>850</v>
      </c>
      <c r="Q67" s="1366">
        <f ca="1">L51</f>
        <v>100149</v>
      </c>
      <c r="R67" s="1323" t="s">
        <v>870</v>
      </c>
    </row>
    <row r="68" spans="1:18" s="1288" customFormat="1" ht="16.5" thickBot="1">
      <c r="A68" s="889" t="s">
        <v>395</v>
      </c>
      <c r="B68" s="890" t="s">
        <v>774</v>
      </c>
      <c r="C68" s="293">
        <f ca="1">ROUND(C67*(1-((1+F70)/(1+F68))^F69)/(F68-F70),0)</f>
        <v>-30792</v>
      </c>
      <c r="D68" s="907" t="s">
        <v>758</v>
      </c>
      <c r="E68" s="892" t="s">
        <v>759</v>
      </c>
      <c r="F68" s="304">
        <f ca="1">F40</f>
        <v>2.5000000000000001E-2</v>
      </c>
      <c r="O68" s="1330" t="s">
        <v>406</v>
      </c>
      <c r="P68" s="1367" t="s">
        <v>871</v>
      </c>
      <c r="Q68" s="1323">
        <f ca="1">ROUND(Q69-Q70*Q71,0)</f>
        <v>2314</v>
      </c>
      <c r="R68" s="1323" t="s">
        <v>414</v>
      </c>
    </row>
    <row r="69" spans="1:18" s="1288" customFormat="1" ht="13.5" thickBot="1">
      <c r="A69" s="893"/>
      <c r="B69" s="894"/>
      <c r="C69" s="298"/>
      <c r="D69" s="912" t="s">
        <v>762</v>
      </c>
      <c r="E69" s="892" t="s">
        <v>763</v>
      </c>
      <c r="F69" s="324">
        <f ca="1">F41</f>
        <v>70</v>
      </c>
      <c r="O69" s="1330" t="s">
        <v>411</v>
      </c>
      <c r="P69" s="1367" t="s">
        <v>872</v>
      </c>
      <c r="Q69" s="1323">
        <f ca="1">C39</f>
        <v>15074</v>
      </c>
      <c r="R69" s="1323" t="s">
        <v>818</v>
      </c>
    </row>
    <row r="70" spans="1:18" s="1288" customFormat="1" ht="13.5" thickBot="1">
      <c r="A70" s="896"/>
      <c r="B70" s="897"/>
      <c r="C70" s="302"/>
      <c r="D70" s="908"/>
      <c r="E70" s="892" t="s">
        <v>766</v>
      </c>
      <c r="F70" s="987"/>
      <c r="O70" s="1330" t="s">
        <v>412</v>
      </c>
      <c r="P70" s="1367" t="s">
        <v>873</v>
      </c>
      <c r="Q70" s="1323">
        <f ca="1">C13</f>
        <v>255208</v>
      </c>
      <c r="R70" s="1323" t="s">
        <v>818</v>
      </c>
    </row>
    <row r="71" spans="1:18" s="1288" customFormat="1" ht="13.5" thickBot="1">
      <c r="A71" s="913" t="s">
        <v>396</v>
      </c>
      <c r="B71" s="914" t="s">
        <v>776</v>
      </c>
      <c r="C71" s="327">
        <f ca="1">ROUND(C68/F71,0)</f>
        <v>-199</v>
      </c>
      <c r="D71" s="915" t="s">
        <v>777</v>
      </c>
      <c r="E71" s="916" t="s">
        <v>778</v>
      </c>
      <c r="F71" s="330">
        <f ca="1">F43</f>
        <v>154.79</v>
      </c>
      <c r="O71" s="1330" t="s">
        <v>413</v>
      </c>
      <c r="P71" s="1367" t="s">
        <v>874</v>
      </c>
      <c r="Q71" s="1333">
        <f ca="1">C76</f>
        <v>0.05</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12760</v>
      </c>
      <c r="D75" s="1288"/>
      <c r="E75" s="1288"/>
      <c r="F75" s="1288"/>
      <c r="K75" s="1305"/>
      <c r="L75" s="1288"/>
      <c r="O75" s="1321" t="s">
        <v>409</v>
      </c>
      <c r="P75" s="1322" t="s">
        <v>838</v>
      </c>
      <c r="Q75" s="1323">
        <f ca="1">Q65+Q66</f>
        <v>646868</v>
      </c>
      <c r="R75" s="1323" t="s">
        <v>410</v>
      </c>
    </row>
    <row r="76" spans="1:18">
      <c r="B76" s="333" t="s">
        <v>796</v>
      </c>
      <c r="C76" s="334">
        <f ca="1">INDIRECT("'数据-取费表'!j"&amp;$G$1)</f>
        <v>0.05</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0.15400000000000003</v>
      </c>
    </row>
    <row r="80" spans="1:18">
      <c r="B80" s="331" t="s">
        <v>800</v>
      </c>
      <c r="C80" s="266">
        <f ca="1">ROUND(C75/C39,3)</f>
        <v>0.84599999999999997</v>
      </c>
    </row>
    <row r="81" spans="2:3">
      <c r="B81" s="262" t="s">
        <v>801</v>
      </c>
      <c r="C81" s="230"/>
    </row>
    <row r="82" spans="2:3">
      <c r="B82" s="265" t="s">
        <v>802</v>
      </c>
      <c r="C82" s="267">
        <f ca="1">1-C83</f>
        <v>0.60499999999999998</v>
      </c>
    </row>
    <row r="83" spans="2:3">
      <c r="B83" s="265" t="s">
        <v>803</v>
      </c>
      <c r="C83" s="266">
        <f ca="1">ROUND(C13/C40,3)</f>
        <v>0.39500000000000002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0485-106C-4025-832D-B241FA4DB40C}">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3437</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ROUND('基准地价修正-商业'!I37/10000,0)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8" t="s">
        <v>1544</v>
      </c>
    </row>
    <row r="43" spans="1:7" ht="13.5" customHeight="1">
      <c r="A43" s="730" t="s">
        <v>347</v>
      </c>
      <c r="B43" s="207" t="s">
        <v>1506</v>
      </c>
      <c r="C43" s="230" t="e">
        <f ca="1">ROUND(IF('数据-取费表'!B22&lt;=1,C39*F22*'数据-取费表'!B21/2,C39*(POWER((1+F22),'数据-取费表'!B21/2)-1)),0)</f>
        <v>#N/A</v>
      </c>
      <c r="D43" s="230"/>
      <c r="E43" s="230"/>
      <c r="F43" s="231"/>
      <c r="G43" s="3369"/>
    </row>
    <row r="44" spans="1:7" ht="13.5" customHeight="1">
      <c r="A44" s="730" t="s">
        <v>348</v>
      </c>
      <c r="B44" s="207" t="s">
        <v>1509</v>
      </c>
      <c r="C44" s="230">
        <f ca="1">ROUND(IF('数据-取费表'!B22&lt;=1,C40*F22*'数据-取费表'!B21/2,C40*(POWER((1+F22),'数据-取费表'!B21/2)-1)),4)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A9B13360-1FE6-46D5-9882-EE7CC2DCAB7A}">
      <formula1>"已包含在土地购买价格中,未包含在土地购买价格中"</formula1>
    </dataValidation>
    <dataValidation type="list" allowBlank="1" showInputMessage="1" showErrorMessage="1" sqref="G19" xr:uid="{D7D610B1-FDD0-4E82-AB91-262E7F86D022}">
      <formula1>"已包含在土地取得成本中,未包含在土地取得成本中"</formula1>
    </dataValidation>
    <dataValidation type="list" allowBlank="1" showInputMessage="1" showErrorMessage="1" sqref="B1" xr:uid="{66DAB6CF-84F3-41AD-8C8A-8EF8EE928C16}">
      <formula1>项目类型</formula1>
    </dataValidation>
    <dataValidation type="list" allowBlank="1" showInputMessage="1" showErrorMessage="1" sqref="G9" xr:uid="{473E1BAE-9968-437B-8595-00690C26F5E7}">
      <formula1>"部分缴纳,全部缴纳"</formula1>
    </dataValidation>
    <dataValidation type="list" allowBlank="1" showInputMessage="1" showErrorMessage="1" sqref="G2" xr:uid="{84EAC7A9-A88F-4133-BED6-E79052EF92BA}">
      <formula1>估价方法</formula1>
    </dataValidation>
    <dataValidation type="list" allowBlank="1" showInputMessage="1" showErrorMessage="1" sqref="D2" xr:uid="{094062A7-EADE-45A4-83DB-81C07D52818B}">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3437</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'基准地价修正-商业'!I37</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8" t="s">
        <v>1591</v>
      </c>
    </row>
    <row r="43" spans="1:7" ht="13.5" customHeight="1">
      <c r="A43" s="730" t="s">
        <v>347</v>
      </c>
      <c r="B43" s="207" t="s">
        <v>1506</v>
      </c>
      <c r="C43" s="230" t="e">
        <f ca="1">ROUND(IF('数据-取费表'!B22&lt;=1,C39*F22*'数据-取费表'!B20/2,C39*(POWER((1+F22),'数据-取费表'!B20/2)-1)),0)</f>
        <v>#N/A</v>
      </c>
      <c r="D43" s="230"/>
      <c r="E43" s="230"/>
      <c r="F43" s="231"/>
      <c r="G43" s="3369"/>
    </row>
    <row r="44" spans="1:7" ht="13.5" customHeight="1">
      <c r="A44" s="730" t="s">
        <v>348</v>
      </c>
      <c r="B44" s="207" t="s">
        <v>1509</v>
      </c>
      <c r="C44" s="230">
        <f ca="1">ROUND(IF('数据-取费表'!B22&lt;=1,C40*F22*'数据-取费表'!B20/2,C40*(POWER((1+F22),'数据-取费表'!B20/2)-1)),4)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3437</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1" t="s">
        <v>694</v>
      </c>
      <c r="C6" s="1007" t="e">
        <f ca="1">ROUND(F6*F8*F7*(1-F9),0)</f>
        <v>#N/A</v>
      </c>
      <c r="D6" s="147" t="s">
        <v>2106</v>
      </c>
      <c r="E6" s="294" t="s">
        <v>696</v>
      </c>
      <c r="F6" s="295" t="e">
        <f ca="1">INDIRECT("'数据-取费表'!u"&amp;$G$1)</f>
        <v>#N/A</v>
      </c>
      <c r="G6" s="1288"/>
      <c r="H6" s="1002" t="s">
        <v>398</v>
      </c>
      <c r="I6" s="3371" t="s">
        <v>694</v>
      </c>
      <c r="J6" s="293" t="e">
        <f ca="1">ROUND(M6*M8*M7*(1-M9),0)</f>
        <v>#N/A</v>
      </c>
      <c r="K6" s="1280" t="s">
        <v>2107</v>
      </c>
      <c r="L6" s="294" t="s">
        <v>696</v>
      </c>
      <c r="M6" s="295" t="e">
        <f ca="1">INDIRECT("'数据-取费表'!z"&amp;$G$1)</f>
        <v>#N/A</v>
      </c>
    </row>
    <row r="7" spans="1:37" ht="18" customHeight="1">
      <c r="A7" s="1006"/>
      <c r="B7" s="3372"/>
      <c r="C7" s="1008"/>
      <c r="D7" s="299"/>
      <c r="E7" s="1009" t="s">
        <v>697</v>
      </c>
      <c r="F7" s="295" t="e">
        <f ca="1">IF(INDIRECT("'数据-取费表'!ah"&amp;$G$1)="",INDIRECT("'数据-取费表'!k"&amp;$G$1),INDIRECT("'数据-取费表'!ah"&amp;$G$1))</f>
        <v>#N/A</v>
      </c>
      <c r="G7" s="1288"/>
      <c r="H7" s="296"/>
      <c r="I7" s="3372"/>
      <c r="J7" s="298"/>
      <c r="K7" s="299"/>
      <c r="L7" s="294" t="s">
        <v>697</v>
      </c>
      <c r="M7" s="295" t="e">
        <f ca="1">F7</f>
        <v>#N/A</v>
      </c>
    </row>
    <row r="8" spans="1:37" ht="18" customHeight="1">
      <c r="A8" s="296"/>
      <c r="B8" s="3372"/>
      <c r="C8" s="298"/>
      <c r="D8" s="299"/>
      <c r="E8" s="294" t="s">
        <v>698</v>
      </c>
      <c r="F8" s="295" t="e">
        <f ca="1">INDIRECT("'数据-取费表'!ai"&amp;$G$1)</f>
        <v>#N/A</v>
      </c>
      <c r="G8" s="1288"/>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88"/>
      <c r="H9" s="296"/>
      <c r="I9" s="337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'数据-取费表'!J11</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4" t="s">
        <v>837</v>
      </c>
      <c r="L53" s="337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AE5-0127-41B3-83F9-19FE3B2046F2}">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3436</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 -办公'!I40/10000,0)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8" t="s">
        <v>1544</v>
      </c>
    </row>
    <row r="43" spans="1:7" ht="13.5" customHeight="1">
      <c r="A43" s="730" t="s">
        <v>347</v>
      </c>
      <c r="B43" s="207" t="s">
        <v>1506</v>
      </c>
      <c r="C43" s="230" t="e">
        <f ca="1">ROUND(IF('数据-取费表'!B22&lt;=1,C39*F22*'数据-取费表'!B21/2,C39*(POWER((1+F22),'数据-取费表'!B21/2)-1)),0)</f>
        <v>#N/A</v>
      </c>
      <c r="D43" s="230"/>
      <c r="E43" s="230"/>
      <c r="F43" s="231"/>
      <c r="G43" s="3369"/>
    </row>
    <row r="44" spans="1:7" ht="13.5" customHeight="1">
      <c r="A44" s="730" t="s">
        <v>348</v>
      </c>
      <c r="B44" s="207" t="s">
        <v>1509</v>
      </c>
      <c r="C44" s="230">
        <f ca="1">ROUND(IF('数据-取费表'!B22&lt;=1,C40*F22*'数据-取费表'!B21/2,C40*(POWER((1+F22),'数据-取费表'!B21/2)-1)),4)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6A613362-BF5C-45C8-82B5-BA8DA83199FD}">
      <formula1>"已包含在土地购买价格中,未包含在土地购买价格中"</formula1>
    </dataValidation>
    <dataValidation type="list" allowBlank="1" showInputMessage="1" showErrorMessage="1" sqref="G19" xr:uid="{0E588707-3B7C-45E2-86A2-DD3DC39A057E}">
      <formula1>"已包含在土地取得成本中,未包含在土地取得成本中"</formula1>
    </dataValidation>
    <dataValidation type="list" allowBlank="1" showInputMessage="1" showErrorMessage="1" sqref="B1" xr:uid="{90F12651-2CD0-49CE-9EFA-BE674F86A7AA}">
      <formula1>项目类型</formula1>
    </dataValidation>
    <dataValidation type="list" allowBlank="1" showInputMessage="1" showErrorMessage="1" sqref="G9" xr:uid="{553732F6-20E8-4A01-8D17-4A40C7A4FCEF}">
      <formula1>"部分缴纳,全部缴纳"</formula1>
    </dataValidation>
    <dataValidation type="list" allowBlank="1" showInputMessage="1" showErrorMessage="1" sqref="G2" xr:uid="{F406C4D9-BCD8-4C3F-A6B2-9F66C8A05BDA}">
      <formula1>估价方法</formula1>
    </dataValidation>
    <dataValidation type="list" allowBlank="1" showInputMessage="1" showErrorMessage="1" sqref="D2" xr:uid="{FAA8B336-30CB-40FE-9BB7-D3FC9E15AAD1}">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3436</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 -办公'!I40</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8" t="s">
        <v>1591</v>
      </c>
    </row>
    <row r="43" spans="1:7" ht="13.5" customHeight="1">
      <c r="A43" s="730" t="s">
        <v>347</v>
      </c>
      <c r="B43" s="207" t="s">
        <v>1506</v>
      </c>
      <c r="C43" s="230" t="e">
        <f ca="1">ROUND(IF('数据-取费表'!B22&lt;=1,C39*F22*'数据-取费表'!B20/2,C39*(POWER((1+F22),'数据-取费表'!B20/2)-1)),0)</f>
        <v>#N/A</v>
      </c>
      <c r="D43" s="230"/>
      <c r="E43" s="230"/>
      <c r="F43" s="231"/>
      <c r="G43" s="3369"/>
    </row>
    <row r="44" spans="1:7" ht="13.5" customHeight="1">
      <c r="A44" s="730" t="s">
        <v>348</v>
      </c>
      <c r="B44" s="207" t="s">
        <v>1509</v>
      </c>
      <c r="C44" s="230">
        <f ca="1">ROUND(IF('数据-取费表'!B22&lt;=1,C40*F22*'数据-取费表'!B20/2,C40*(POWER((1+F22),'数据-取费表'!B20/2)-1)),4)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3436</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1" t="s">
        <v>694</v>
      </c>
      <c r="C6" s="1007" t="e">
        <f ca="1">ROUND(F6*F8*F7*(1-F9),0)</f>
        <v>#N/A</v>
      </c>
      <c r="D6" s="147" t="s">
        <v>2106</v>
      </c>
      <c r="E6" s="294" t="s">
        <v>696</v>
      </c>
      <c r="F6" s="295" t="e">
        <f ca="1">INDIRECT("'数据-取费表'!u"&amp;$G$1)</f>
        <v>#N/A</v>
      </c>
      <c r="G6" s="1288"/>
      <c r="H6" s="1002" t="s">
        <v>398</v>
      </c>
      <c r="I6" s="3371" t="s">
        <v>694</v>
      </c>
      <c r="J6" s="293" t="e">
        <f ca="1">ROUND(M6*M8*M7*(1-M9),0)</f>
        <v>#N/A</v>
      </c>
      <c r="K6" s="1280" t="s">
        <v>2107</v>
      </c>
      <c r="L6" s="294" t="s">
        <v>696</v>
      </c>
      <c r="M6" s="295" t="e">
        <f ca="1">INDIRECT("'数据-取费表'!z"&amp;$G$1)</f>
        <v>#N/A</v>
      </c>
    </row>
    <row r="7" spans="1:37" ht="18" customHeight="1">
      <c r="A7" s="1006"/>
      <c r="B7" s="3372"/>
      <c r="C7" s="1008"/>
      <c r="D7" s="299"/>
      <c r="E7" s="1009" t="s">
        <v>697</v>
      </c>
      <c r="F7" s="295" t="e">
        <f ca="1">IF(INDIRECT("'数据-取费表'!ah"&amp;$G$1)="",INDIRECT("'数据-取费表'!k"&amp;$G$1),INDIRECT("'数据-取费表'!ah"&amp;$G$1))</f>
        <v>#N/A</v>
      </c>
      <c r="G7" s="1288"/>
      <c r="H7" s="296"/>
      <c r="I7" s="3372"/>
      <c r="J7" s="298"/>
      <c r="K7" s="299"/>
      <c r="L7" s="294" t="s">
        <v>697</v>
      </c>
      <c r="M7" s="295" t="e">
        <f ca="1">F7</f>
        <v>#N/A</v>
      </c>
    </row>
    <row r="8" spans="1:37" ht="18" customHeight="1">
      <c r="A8" s="296"/>
      <c r="B8" s="3372"/>
      <c r="C8" s="298"/>
      <c r="D8" s="299"/>
      <c r="E8" s="294" t="s">
        <v>698</v>
      </c>
      <c r="F8" s="295" t="e">
        <f ca="1">INDIRECT("'数据-取费表'!ai"&amp;$G$1)</f>
        <v>#N/A</v>
      </c>
      <c r="G8" s="1288"/>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88"/>
      <c r="H9" s="296"/>
      <c r="I9" s="337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'数据-取费表'!J7</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4" t="s">
        <v>837</v>
      </c>
      <c r="L53" s="337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784-A0E2-489C-8B43-8DAD3189944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-办公'!G42*'数据-基础表'!S13/10000,0)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8" t="s">
        <v>1544</v>
      </c>
    </row>
    <row r="43" spans="1:7" ht="13.5" customHeight="1">
      <c r="A43" s="730" t="s">
        <v>347</v>
      </c>
      <c r="B43" s="207" t="s">
        <v>1506</v>
      </c>
      <c r="C43" s="230" t="e">
        <f ca="1">ROUND(IF('数据-取费表'!B22&lt;=1,C39*F22*'数据-取费表'!B21/2,C39*(POWER((1+F22),'数据-取费表'!B21/2)-1)),0)</f>
        <v>#N/A</v>
      </c>
      <c r="D43" s="230"/>
      <c r="E43" s="230"/>
      <c r="F43" s="231"/>
      <c r="G43" s="3369"/>
    </row>
    <row r="44" spans="1:7" ht="13.5" customHeight="1">
      <c r="A44" s="730" t="s">
        <v>348</v>
      </c>
      <c r="B44" s="207" t="s">
        <v>1509</v>
      </c>
      <c r="C44" s="230">
        <f ca="1">ROUND(IF('数据-取费表'!B22&lt;=1,C40*F22*'数据-取费表'!B21/2,C40*(POWER((1+F22),'数据-取费表'!B21/2)-1)),4)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A76F273-C9DD-4020-A5DC-845F1E3CBC18}">
      <formula1>"需扣减承租人权益,——"</formula1>
    </dataValidation>
    <dataValidation type="list" allowBlank="1" showInputMessage="1" showErrorMessage="1" sqref="G2" xr:uid="{E8C765C9-FE6A-4835-8936-B084A1A83497}">
      <formula1>估价方法</formula1>
    </dataValidation>
    <dataValidation type="list" allowBlank="1" showInputMessage="1" showErrorMessage="1" sqref="G9" xr:uid="{66DE43BF-7B47-441C-A2C6-A830D41AE577}">
      <formula1>"部分缴纳,全部缴纳"</formula1>
    </dataValidation>
    <dataValidation type="list" allowBlank="1" showInputMessage="1" showErrorMessage="1" sqref="B1" xr:uid="{9EC57C05-4EB5-4CE8-BD7E-5F2B8CD279BF}">
      <formula1>项目类型</formula1>
    </dataValidation>
    <dataValidation type="list" allowBlank="1" showInputMessage="1" showErrorMessage="1" sqref="G19" xr:uid="{8452741B-6A8F-41B7-9A99-C6BB7CC93EE9}">
      <formula1>"已包含在土地取得成本中,未包含在土地取得成本中"</formula1>
    </dataValidation>
    <dataValidation type="list" allowBlank="1" showInputMessage="1" showErrorMessage="1" sqref="G8" xr:uid="{9F41C30F-3C3F-4D99-B9A4-004C91B9F21A}">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估价对象为房地产，为所有。根据《国有土地使用证》[]，估价对象（分摊）出让国有建设用地使用权面积为0平方米，建筑面积为154.79平方米。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估价对象为房地产,属开发建设的，该项目尚在开发建设中。根据《国有土地使用证》[]，估价对象（分摊）出让国有建设用地使用权面积为0平方米，规划建筑面积为154.79平方米。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2025年10月10日（评估专业人员实地查勘之日）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本次评估采用的主估价方法为收益法和比较法。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-办公'!G42*'数据-基础表'!S13,0)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8" t="s">
        <v>1591</v>
      </c>
    </row>
    <row r="43" spans="1:7" ht="13.5" customHeight="1">
      <c r="A43" s="730" t="s">
        <v>347</v>
      </c>
      <c r="B43" s="207" t="s">
        <v>1506</v>
      </c>
      <c r="C43" s="230" t="e">
        <f ca="1">ROUND(IF('数据-取费表'!B22&lt;=1,C39*F22*'数据-取费表'!B20/2,C39*(POWER((1+F22),'数据-取费表'!B20/2)-1)),0)</f>
        <v>#N/A</v>
      </c>
      <c r="D43" s="230"/>
      <c r="E43" s="230"/>
      <c r="F43" s="231"/>
      <c r="G43" s="3369"/>
    </row>
    <row r="44" spans="1:7" ht="13.5" customHeight="1">
      <c r="A44" s="730" t="s">
        <v>348</v>
      </c>
      <c r="B44" s="207" t="s">
        <v>1509</v>
      </c>
      <c r="C44" s="230">
        <f ca="1">ROUND(IF('数据-取费表'!B22&lt;=1,C40*F22*'数据-取费表'!B20/2,C40*(POWER((1+F22),'数据-取费表'!B20/2)-1)),4)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1" t="s">
        <v>694</v>
      </c>
      <c r="C6" s="1007" t="e">
        <f ca="1">ROUND(F6*F8*F7*(1-F9),0)</f>
        <v>#N/A</v>
      </c>
      <c r="D6" s="147" t="s">
        <v>2106</v>
      </c>
      <c r="E6" s="294" t="s">
        <v>696</v>
      </c>
      <c r="F6" s="295" t="e">
        <f ca="1">INDIRECT("'数据-取费表'!u"&amp;$G$1)</f>
        <v>#N/A</v>
      </c>
      <c r="G6" s="1288"/>
      <c r="H6" s="1002" t="s">
        <v>398</v>
      </c>
      <c r="I6" s="3371" t="s">
        <v>694</v>
      </c>
      <c r="J6" s="293" t="e">
        <f ca="1">ROUND(M6*M8*M7*(1-M9),0)</f>
        <v>#N/A</v>
      </c>
      <c r="K6" s="1280" t="s">
        <v>2107</v>
      </c>
      <c r="L6" s="294" t="s">
        <v>696</v>
      </c>
      <c r="M6" s="295" t="e">
        <f ca="1">INDIRECT("'数据-取费表'!z"&amp;$G$1)</f>
        <v>#N/A</v>
      </c>
    </row>
    <row r="7" spans="1:37" ht="18" customHeight="1">
      <c r="A7" s="1006"/>
      <c r="B7" s="3372"/>
      <c r="C7" s="1008"/>
      <c r="D7" s="299"/>
      <c r="E7" s="1009" t="s">
        <v>697</v>
      </c>
      <c r="F7" s="295" t="e">
        <f ca="1">IF(INDIRECT("'数据-取费表'!ah"&amp;$G$1)="",INDIRECT("'数据-取费表'!k"&amp;$G$1),INDIRECT("'数据-取费表'!ah"&amp;$G$1))</f>
        <v>#N/A</v>
      </c>
      <c r="G7" s="1288"/>
      <c r="H7" s="296"/>
      <c r="I7" s="3372"/>
      <c r="J7" s="298"/>
      <c r="K7" s="299"/>
      <c r="L7" s="294" t="s">
        <v>697</v>
      </c>
      <c r="M7" s="295" t="e">
        <f ca="1">F7</f>
        <v>#N/A</v>
      </c>
    </row>
    <row r="8" spans="1:37" ht="18" customHeight="1">
      <c r="A8" s="296"/>
      <c r="B8" s="3372"/>
      <c r="C8" s="298"/>
      <c r="D8" s="299"/>
      <c r="E8" s="294" t="s">
        <v>698</v>
      </c>
      <c r="F8" s="295" t="e">
        <f ca="1">INDIRECT("'数据-取费表'!ai"&amp;$G$1)</f>
        <v>#N/A</v>
      </c>
      <c r="G8" s="1288"/>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88"/>
      <c r="H9" s="296"/>
      <c r="I9" s="337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'数据-取费表'!J10</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4" t="s">
        <v>837</v>
      </c>
      <c r="L53" s="337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C5BF-DAE4-4759-B254-CCFFCA11535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-办公'!G42*'数据-基础表'!Q13/10000,0)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8" t="s">
        <v>1544</v>
      </c>
    </row>
    <row r="43" spans="1:7" ht="13.5" customHeight="1">
      <c r="A43" s="730" t="s">
        <v>347</v>
      </c>
      <c r="B43" s="207" t="s">
        <v>1506</v>
      </c>
      <c r="C43" s="230" t="e">
        <f ca="1">ROUND(IF('数据-取费表'!B22&lt;=1,C39*F22*'数据-取费表'!B21/2,C39*(POWER((1+F22),'数据-取费表'!B21/2)-1)),0)</f>
        <v>#N/A</v>
      </c>
      <c r="D43" s="230"/>
      <c r="E43" s="230"/>
      <c r="F43" s="231"/>
      <c r="G43" s="3369"/>
    </row>
    <row r="44" spans="1:7" ht="13.5" customHeight="1">
      <c r="A44" s="730" t="s">
        <v>348</v>
      </c>
      <c r="B44" s="207" t="s">
        <v>1509</v>
      </c>
      <c r="C44" s="230">
        <f ca="1">ROUND(IF('数据-取费表'!B22&lt;=1,C40*F22*'数据-取费表'!B21/2,C40*(POWER((1+F22),'数据-取费表'!B21/2)-1)),4)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289905CF-AA52-4E2F-817D-27146589F824}">
      <formula1>"需扣减承租人权益,——"</formula1>
    </dataValidation>
    <dataValidation type="list" allowBlank="1" showInputMessage="1" showErrorMessage="1" sqref="G2" xr:uid="{9644CF6D-4D8C-4105-9363-17CE5EEF627E}">
      <formula1>估价方法</formula1>
    </dataValidation>
    <dataValidation type="list" allowBlank="1" showInputMessage="1" showErrorMessage="1" sqref="G9" xr:uid="{E989A6B2-A5DC-4225-96BA-B3EEEADBB4E3}">
      <formula1>"部分缴纳,全部缴纳"</formula1>
    </dataValidation>
    <dataValidation type="list" allowBlank="1" showInputMessage="1" showErrorMessage="1" sqref="B1" xr:uid="{1A4C7D8D-C908-4C2F-BABE-3E2F648BC62B}">
      <formula1>项目类型</formula1>
    </dataValidation>
    <dataValidation type="list" allowBlank="1" showInputMessage="1" showErrorMessage="1" sqref="G19" xr:uid="{96C1B304-FE3A-48F8-805D-8E6E2D086EB6}">
      <formula1>"已包含在土地取得成本中,未包含在土地取得成本中"</formula1>
    </dataValidation>
    <dataValidation type="list" allowBlank="1" showInputMessage="1" showErrorMessage="1" sqref="G8" xr:uid="{B55FD04E-A24C-4CF5-BF91-A36E2D2B343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-办公'!G42*'数据-基础表'!Q13,0)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8" t="s">
        <v>1591</v>
      </c>
    </row>
    <row r="43" spans="1:7" ht="13.5" customHeight="1">
      <c r="A43" s="730" t="s">
        <v>347</v>
      </c>
      <c r="B43" s="207" t="s">
        <v>1506</v>
      </c>
      <c r="C43" s="230" t="e">
        <f ca="1">ROUND(IF('数据-取费表'!B22&lt;=1,C39*F22*'数据-取费表'!B20/2,C39*(POWER((1+F22),'数据-取费表'!B20/2)-1)),0)</f>
        <v>#N/A</v>
      </c>
      <c r="D43" s="230"/>
      <c r="E43" s="230"/>
      <c r="F43" s="231"/>
      <c r="G43" s="3369"/>
    </row>
    <row r="44" spans="1:7" ht="13.5" customHeight="1">
      <c r="A44" s="730" t="s">
        <v>348</v>
      </c>
      <c r="B44" s="207" t="s">
        <v>1509</v>
      </c>
      <c r="C44" s="230">
        <f ca="1">ROUND(IF('数据-取费表'!B22&lt;=1,C40*F22*'数据-取费表'!B20/2,C40*(POWER((1+F22),'数据-取费表'!B20/2)-1)),4)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31" sqref="F3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0</v>
      </c>
      <c r="D5" s="1269" t="s">
        <v>693</v>
      </c>
      <c r="E5" s="1004"/>
      <c r="F5" s="1005"/>
      <c r="G5" s="1288"/>
      <c r="H5" s="291">
        <v>1</v>
      </c>
      <c r="I5" s="292" t="s">
        <v>692</v>
      </c>
      <c r="J5" s="1003">
        <f ca="1">J6+J10+J12</f>
        <v>0</v>
      </c>
      <c r="K5" s="1269" t="s">
        <v>693</v>
      </c>
      <c r="L5" s="1004"/>
      <c r="M5" s="1005"/>
    </row>
    <row r="6" spans="1:37" ht="18" customHeight="1">
      <c r="A6" s="1002" t="s">
        <v>398</v>
      </c>
      <c r="B6" s="3371" t="s">
        <v>694</v>
      </c>
      <c r="C6" s="1007">
        <f ca="1">ROUND(F6*F8*F7*(1-F9)/10000,0)</f>
        <v>0</v>
      </c>
      <c r="D6" s="147" t="s">
        <v>2109</v>
      </c>
      <c r="E6" s="294" t="s">
        <v>696</v>
      </c>
      <c r="F6" s="295">
        <f ca="1">INDIRECT("'数据-取费表'!u"&amp;$G$1)</f>
        <v>0</v>
      </c>
      <c r="G6" s="1288"/>
      <c r="H6" s="1002" t="s">
        <v>398</v>
      </c>
      <c r="I6" s="3371" t="s">
        <v>694</v>
      </c>
      <c r="J6" s="293">
        <f ca="1">ROUND(M6*M8*M7*(1-M9)/10000,0)</f>
        <v>0</v>
      </c>
      <c r="K6" s="147" t="s">
        <v>2108</v>
      </c>
      <c r="L6" s="294" t="s">
        <v>696</v>
      </c>
      <c r="M6" s="295">
        <f ca="1">INDIRECT("'数据-取费表'!z"&amp;$G$1)</f>
        <v>0</v>
      </c>
    </row>
    <row r="7" spans="1:37" ht="18" customHeight="1">
      <c r="A7" s="1006"/>
      <c r="B7" s="3372"/>
      <c r="C7" s="1008"/>
      <c r="D7" s="299"/>
      <c r="E7" s="1009" t="s">
        <v>697</v>
      </c>
      <c r="F7" s="295">
        <f ca="1">IF(INDIRECT("'数据-取费表'!ah"&amp;$G$1)="",INDIRECT("'数据-取费表'!k"&amp;$G$1),INDIRECT("'数据-取费表'!ah"&amp;$G$1))</f>
        <v>0</v>
      </c>
      <c r="G7" s="1288"/>
      <c r="H7" s="296"/>
      <c r="I7" s="3372"/>
      <c r="J7" s="298"/>
      <c r="K7" s="299"/>
      <c r="L7" s="294" t="s">
        <v>697</v>
      </c>
      <c r="M7" s="295">
        <f ca="1">F7</f>
        <v>0</v>
      </c>
    </row>
    <row r="8" spans="1:37" ht="18" customHeight="1">
      <c r="A8" s="296"/>
      <c r="B8" s="3372"/>
      <c r="C8" s="298"/>
      <c r="D8" s="299"/>
      <c r="E8" s="294" t="s">
        <v>698</v>
      </c>
      <c r="F8" s="295">
        <f ca="1">INDIRECT("'数据-取费表'!ai"&amp;$G$1)</f>
        <v>0</v>
      </c>
      <c r="G8" s="1288"/>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88"/>
      <c r="H9" s="296"/>
      <c r="I9" s="3373"/>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2117</v>
      </c>
      <c r="E10" s="305" t="s">
        <v>701</v>
      </c>
      <c r="F10" s="1049"/>
      <c r="G10" s="1288"/>
      <c r="H10" s="1002" t="s">
        <v>402</v>
      </c>
      <c r="I10" s="1270" t="s">
        <v>700</v>
      </c>
      <c r="J10" s="293">
        <f ca="1">ROUND(IF(M10="押一",J6/12*M11,IF(M10="押二",J6/12*2*M11,IF(M10="押三",J6/12*3*M11,J11*M11))),0)</f>
        <v>0</v>
      </c>
      <c r="K10" s="150" t="s">
        <v>2116</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ROUND(F17*(F43+INDIRECT("'数据-取费表'!S"&amp;$G$1))/10000,0)</f>
        <v>0</v>
      </c>
      <c r="D17" s="294" t="s">
        <v>717</v>
      </c>
      <c r="E17" s="294" t="s">
        <v>718</v>
      </c>
      <c r="F17" s="23">
        <f>'数据-取费表'!B35</f>
        <v>120</v>
      </c>
      <c r="G17" s="1299"/>
      <c r="H17" s="924" t="s">
        <v>398</v>
      </c>
      <c r="I17" s="294" t="s">
        <v>719</v>
      </c>
      <c r="J17" s="2134">
        <f ca="1">ROUND(IF(AND(项目基本情况!B11="自然人",项目基本情况!B10="北京市"),J6*M17/(1+'数据-取费表'!C42),J18+J19+J20),2)</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IF(K19="按租金收入计税",ROUND(J6*M19/(1+'数据-取费表'!C42),2),ROUND(C29*M19*0.7,2))</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ROUND(M20*M21/10000,2)</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ROUND(IF(AND(项目基本情况!B11="自然人",项目基本情况!B10="北京市"),C6*F31/(1+'数据-取费表'!C42),C32+C33+C34),2)</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IF(项目基本情况!B11="自然人","——",ROUND(C6*F32/(1+'数据-取费表'!C42),2))</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IF(项目基本情况!B11="自然人","——",ROUND(F34*F35/10000,2))</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ROUND(C29*F36,2)</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ROUND(C13*F37,2)</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ROUND(C5*F38,2)</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2110</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49"/>
      <c r="I53" s="1340" t="s">
        <v>836</v>
      </c>
      <c r="J53" s="2000">
        <f ca="1">IF(M47="住宅",IF(D1="——",MAX(J51,L48),MAX(J51,L48-'数据-取费表'!B24)),IF(D1="——",MIN(J51,L48),MIN(J51,L48-'数据-取费表'!B24)))</f>
        <v>0</v>
      </c>
      <c r="K53" s="3374" t="s">
        <v>837</v>
      </c>
      <c r="L53" s="3375"/>
      <c r="O53" s="1321" t="s">
        <v>409</v>
      </c>
      <c r="P53" s="1322" t="s">
        <v>838</v>
      </c>
      <c r="Q53" s="1323" t="e">
        <f ca="1">Q47+Q48</f>
        <v>#DIV/0!</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4">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ROUND(C68*10000/F71,0)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1" t="s">
        <v>694</v>
      </c>
      <c r="C6" s="1007" t="e">
        <f ca="1">ROUND(F6*F8*F7*(1-F9),0)</f>
        <v>#N/A</v>
      </c>
      <c r="D6" s="147" t="s">
        <v>2106</v>
      </c>
      <c r="E6" s="294" t="s">
        <v>696</v>
      </c>
      <c r="F6" s="295" t="e">
        <f ca="1">INDIRECT("'数据-取费表'!u"&amp;$G$1)</f>
        <v>#N/A</v>
      </c>
      <c r="G6" s="1288"/>
      <c r="H6" s="1002" t="s">
        <v>398</v>
      </c>
      <c r="I6" s="3371" t="s">
        <v>694</v>
      </c>
      <c r="J6" s="293" t="e">
        <f ca="1">ROUND(M6*M8*M7*(1-M9),0)</f>
        <v>#N/A</v>
      </c>
      <c r="K6" s="1280" t="s">
        <v>2107</v>
      </c>
      <c r="L6" s="294" t="s">
        <v>696</v>
      </c>
      <c r="M6" s="295" t="e">
        <f ca="1">INDIRECT("'数据-取费表'!z"&amp;$G$1)</f>
        <v>#N/A</v>
      </c>
    </row>
    <row r="7" spans="1:37" ht="18" customHeight="1">
      <c r="A7" s="1006"/>
      <c r="B7" s="3372"/>
      <c r="C7" s="1008"/>
      <c r="D7" s="299"/>
      <c r="E7" s="1009" t="s">
        <v>697</v>
      </c>
      <c r="F7" s="295" t="e">
        <f ca="1">IF(INDIRECT("'数据-取费表'!ah"&amp;$G$1)="",INDIRECT("'数据-取费表'!k"&amp;$G$1),INDIRECT("'数据-取费表'!ah"&amp;$G$1))</f>
        <v>#N/A</v>
      </c>
      <c r="G7" s="1288"/>
      <c r="H7" s="296"/>
      <c r="I7" s="3372"/>
      <c r="J7" s="298"/>
      <c r="K7" s="299"/>
      <c r="L7" s="294" t="s">
        <v>697</v>
      </c>
      <c r="M7" s="295" t="e">
        <f ca="1">F7</f>
        <v>#N/A</v>
      </c>
    </row>
    <row r="8" spans="1:37" ht="18" customHeight="1">
      <c r="A8" s="296"/>
      <c r="B8" s="3372"/>
      <c r="C8" s="298"/>
      <c r="D8" s="299"/>
      <c r="E8" s="294" t="s">
        <v>698</v>
      </c>
      <c r="F8" s="295" t="e">
        <f ca="1">INDIRECT("'数据-取费表'!ai"&amp;$G$1)</f>
        <v>#N/A</v>
      </c>
      <c r="G8" s="1288"/>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88"/>
      <c r="H9" s="296"/>
      <c r="I9" s="337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'数据-取费表'!J9</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4" t="s">
        <v>837</v>
      </c>
      <c r="L53" s="337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3329</v>
      </c>
      <c r="C1" s="190"/>
      <c r="D1" s="190"/>
      <c r="E1" s="190"/>
      <c r="F1" s="190"/>
      <c r="G1" s="1058" t="e">
        <f>MATCH(B1,'数据-取费表'!A6:A16,0)+5</f>
        <v>#N/A</v>
      </c>
    </row>
    <row r="2" spans="1:9" s="192" customFormat="1" ht="18" customHeight="1">
      <c r="A2" s="193" t="s">
        <v>1462</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#VALUE!</v>
      </c>
      <c r="D5" s="203" t="s">
        <v>1469</v>
      </c>
      <c r="E5" s="204" t="s">
        <v>1470</v>
      </c>
      <c r="F5" s="204" t="s">
        <v>1471</v>
      </c>
      <c r="G5" s="205"/>
    </row>
    <row r="6" spans="1:9" s="206" customFormat="1" ht="13.5" customHeight="1">
      <c r="A6" s="728" t="s">
        <v>1472</v>
      </c>
      <c r="B6" s="207" t="s">
        <v>1473</v>
      </c>
      <c r="C6" s="208" t="e">
        <f>ROUND('基准地价修正 -办公'!I41/10000,0)</f>
        <v>#VALUE!</v>
      </c>
      <c r="D6" s="209"/>
      <c r="E6" s="210"/>
      <c r="F6" s="210"/>
      <c r="G6" s="211"/>
    </row>
    <row r="7" spans="1:9" s="206" customFormat="1" ht="13.5" customHeight="1">
      <c r="A7" s="728" t="s">
        <v>1474</v>
      </c>
      <c r="B7" s="207" t="s">
        <v>1475</v>
      </c>
      <c r="C7" s="212" t="e">
        <f>ROUND(C6*F7,0)</f>
        <v>#VALUE!</v>
      </c>
      <c r="D7" s="212"/>
      <c r="E7" s="210"/>
      <c r="F7" s="213">
        <f>IF(项目基本情况!B8="出让",0,'数据-取费表'!B48+'数据-取费表'!B49)</f>
        <v>3.0499999999999999E-2</v>
      </c>
      <c r="G7" s="211"/>
    </row>
    <row r="8" spans="1:9" s="215" customFormat="1">
      <c r="A8" s="728" t="s">
        <v>1476</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1502</v>
      </c>
      <c r="B23" s="207" t="s">
        <v>1503</v>
      </c>
      <c r="C23" s="1038"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1508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ROUND(IF('数据-取费表'!B22&lt;=1,C33*F22*'数据-取费表'!B21/2,C33*(POWER((1+F22),'数据-取费表'!B21/2)-1)),0)</f>
        <v>#N/A</v>
      </c>
      <c r="D42" s="230"/>
      <c r="E42" s="230"/>
      <c r="F42" s="231"/>
      <c r="G42" s="3368" t="s">
        <v>1544</v>
      </c>
    </row>
    <row r="43" spans="1:7" ht="13.5" customHeight="1">
      <c r="A43" s="730" t="s">
        <v>347</v>
      </c>
      <c r="B43" s="207" t="s">
        <v>1545</v>
      </c>
      <c r="C43" s="230" t="e">
        <f ca="1">ROUND(IF('数据-取费表'!B22&lt;=1,C39*F22*'数据-取费表'!B21/2,C39*(POWER((1+F22),'数据-取费表'!B21/2)-1)),0)</f>
        <v>#N/A</v>
      </c>
      <c r="D43" s="230"/>
      <c r="E43" s="230"/>
      <c r="F43" s="231"/>
      <c r="G43" s="3369"/>
    </row>
    <row r="44" spans="1:7" ht="13.5" customHeight="1">
      <c r="A44" s="730"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3329</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'基准地价修正 -办公'!I41</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8" t="s">
        <v>1591</v>
      </c>
    </row>
    <row r="43" spans="1:7" ht="13.5" customHeight="1">
      <c r="A43" s="730" t="s">
        <v>347</v>
      </c>
      <c r="B43" s="207" t="s">
        <v>1506</v>
      </c>
      <c r="C43" s="230" t="e">
        <f ca="1">ROUND(IF('数据-取费表'!B22&lt;=1,C39*F22*'数据-取费表'!B20/2,C39*(POWER((1+F22),'数据-取费表'!B20/2)-1)),0)</f>
        <v>#N/A</v>
      </c>
      <c r="D43" s="230"/>
      <c r="E43" s="230"/>
      <c r="F43" s="231"/>
      <c r="G43" s="3369"/>
    </row>
    <row r="44" spans="1:7" ht="13.5" customHeight="1">
      <c r="A44" s="730" t="s">
        <v>348</v>
      </c>
      <c r="B44" s="207" t="s">
        <v>1509</v>
      </c>
      <c r="C44" s="230">
        <f ca="1">ROUND(IF('数据-取费表'!B22&lt;=1,C40*F22*'数据-取费表'!B20/2,C40*(POWER((1+F22),'数据-取费表'!B20/2)-1)),4)</f>
        <v>5.9999999999999995E-4</v>
      </c>
      <c r="D44" s="230"/>
      <c r="E44" s="230"/>
      <c r="F44" s="231"/>
      <c r="G44" s="337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3329</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1" t="s">
        <v>694</v>
      </c>
      <c r="C6" s="1007" t="e">
        <f ca="1">ROUND(F6*F8*F7*(1-F9),0)</f>
        <v>#N/A</v>
      </c>
      <c r="D6" s="147" t="s">
        <v>2106</v>
      </c>
      <c r="E6" s="294" t="s">
        <v>696</v>
      </c>
      <c r="F6" s="295" t="e">
        <f ca="1">INDIRECT("'数据-取费表'!u"&amp;$G$1)</f>
        <v>#N/A</v>
      </c>
      <c r="G6" s="1288"/>
      <c r="H6" s="1002" t="s">
        <v>398</v>
      </c>
      <c r="I6" s="3371" t="s">
        <v>694</v>
      </c>
      <c r="J6" s="293" t="e">
        <f ca="1">ROUND(M6*M8*M7*(1-M9),0)</f>
        <v>#N/A</v>
      </c>
      <c r="K6" s="1280" t="s">
        <v>2107</v>
      </c>
      <c r="L6" s="294" t="s">
        <v>696</v>
      </c>
      <c r="M6" s="295" t="e">
        <f ca="1">INDIRECT("'数据-取费表'!z"&amp;$G$1)</f>
        <v>#N/A</v>
      </c>
    </row>
    <row r="7" spans="1:37" ht="18" customHeight="1">
      <c r="A7" s="1006"/>
      <c r="B7" s="3372"/>
      <c r="C7" s="1008"/>
      <c r="D7" s="299"/>
      <c r="E7" s="1009" t="s">
        <v>697</v>
      </c>
      <c r="F7" s="295" t="e">
        <f ca="1">IF(INDIRECT("'数据-取费表'!ah"&amp;$G$1)="",INDIRECT("'数据-取费表'!k"&amp;$G$1),INDIRECT("'数据-取费表'!ah"&amp;$G$1))</f>
        <v>#N/A</v>
      </c>
      <c r="G7" s="1288"/>
      <c r="H7" s="296"/>
      <c r="I7" s="3372"/>
      <c r="J7" s="298"/>
      <c r="K7" s="299"/>
      <c r="L7" s="294" t="s">
        <v>697</v>
      </c>
      <c r="M7" s="295" t="e">
        <f ca="1">F7</f>
        <v>#N/A</v>
      </c>
    </row>
    <row r="8" spans="1:37" ht="18" customHeight="1">
      <c r="A8" s="296"/>
      <c r="B8" s="3372"/>
      <c r="C8" s="298"/>
      <c r="D8" s="299"/>
      <c r="E8" s="294" t="s">
        <v>698</v>
      </c>
      <c r="F8" s="295" t="e">
        <f ca="1">INDIRECT("'数据-取费表'!ai"&amp;$G$1)</f>
        <v>#N/A</v>
      </c>
      <c r="G8" s="1288"/>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88"/>
      <c r="H9" s="296"/>
      <c r="I9" s="337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'数据-取费表'!J8</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4" t="s">
        <v>837</v>
      </c>
      <c r="L53" s="337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71" t="s">
        <v>694</v>
      </c>
      <c r="C6" s="1007">
        <f ca="1">ROUND(F6*F8*F7*(1-F9),0)</f>
        <v>0</v>
      </c>
      <c r="D6" s="147" t="s">
        <v>2106</v>
      </c>
      <c r="E6" s="294" t="s">
        <v>696</v>
      </c>
      <c r="F6" s="295">
        <f ca="1">INDIRECT("'数据-取费表'!u"&amp;$G$1)</f>
        <v>0</v>
      </c>
      <c r="G6" s="1288"/>
      <c r="H6" s="1002" t="s">
        <v>398</v>
      </c>
      <c r="I6" s="3371" t="s">
        <v>694</v>
      </c>
      <c r="J6" s="293">
        <f ca="1">ROUND(M6*M8*M7*(1-M9),0)</f>
        <v>0</v>
      </c>
      <c r="K6" s="1280" t="s">
        <v>2107</v>
      </c>
      <c r="L6" s="294" t="s">
        <v>696</v>
      </c>
      <c r="M6" s="295">
        <f ca="1">INDIRECT("'数据-取费表'!z"&amp;$G$1)</f>
        <v>0</v>
      </c>
    </row>
    <row r="7" spans="1:37" ht="18" customHeight="1">
      <c r="A7" s="1006"/>
      <c r="B7" s="3372"/>
      <c r="C7" s="1008"/>
      <c r="D7" s="299"/>
      <c r="E7" s="1009" t="s">
        <v>697</v>
      </c>
      <c r="F7" s="295">
        <f ca="1">IF(INDIRECT("'数据-取费表'!ah"&amp;$G$1)="",INDIRECT("'数据-取费表'!k"&amp;$G$1),INDIRECT("'数据-取费表'!ah"&amp;$G$1))</f>
        <v>0</v>
      </c>
      <c r="G7" s="1288"/>
      <c r="H7" s="296"/>
      <c r="I7" s="3372"/>
      <c r="J7" s="298"/>
      <c r="K7" s="299"/>
      <c r="L7" s="294" t="s">
        <v>697</v>
      </c>
      <c r="M7" s="295">
        <f ca="1">F7</f>
        <v>0</v>
      </c>
    </row>
    <row r="8" spans="1:37" ht="18" customHeight="1">
      <c r="A8" s="296"/>
      <c r="B8" s="3372"/>
      <c r="C8" s="298"/>
      <c r="D8" s="299"/>
      <c r="E8" s="294" t="s">
        <v>698</v>
      </c>
      <c r="F8" s="295">
        <f ca="1">INDIRECT("'数据-取费表'!ai"&amp;$G$1)</f>
        <v>0</v>
      </c>
      <c r="G8" s="1288"/>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88"/>
      <c r="H9" s="296"/>
      <c r="I9" s="3373"/>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2116</v>
      </c>
      <c r="E10" s="305" t="s">
        <v>701</v>
      </c>
      <c r="F10" s="1049"/>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ROUND(C13*F37,0)</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ROUND(C5*F38,0)</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#DIV/0!</v>
      </c>
      <c r="D45" s="3121" t="s">
        <v>3348</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0</v>
      </c>
      <c r="K53" s="3374" t="s">
        <v>837</v>
      </c>
      <c r="L53" s="3375"/>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估价结果一览表（市场价值不需“结果表-1”）</v>
      </c>
      <c r="B3" s="3192"/>
      <c r="C3" s="3192"/>
      <c r="D3" s="3192"/>
      <c r="E3" s="3192"/>
    </row>
    <row r="4" spans="1:5" ht="19.5" thickBot="1">
      <c r="A4" s="1387"/>
      <c r="B4" s="3190" t="s">
        <v>917</v>
      </c>
      <c r="C4" s="3190"/>
      <c r="D4" s="3190"/>
      <c r="E4" s="1387"/>
    </row>
    <row r="5" spans="1:5" ht="16.5" thickTop="1">
      <c r="B5" s="3188" t="s">
        <v>909</v>
      </c>
      <c r="C5" s="1388" t="s">
        <v>910</v>
      </c>
      <c r="D5" s="793" t="e">
        <f ca="1">结果表!H101</f>
        <v>#REF!</v>
      </c>
    </row>
    <row r="6" spans="1:5" ht="15.75">
      <c r="B6" s="3188"/>
      <c r="C6" s="1388" t="s">
        <v>911</v>
      </c>
      <c r="D6" s="793" t="e">
        <f ca="1">NUMBERSTRING(INT(D5*10000),2)&amp;"元整"</f>
        <v>#REF!</v>
      </c>
    </row>
    <row r="7" spans="1:5" ht="15.75">
      <c r="B7" s="3193"/>
      <c r="C7" s="1389" t="s">
        <v>912</v>
      </c>
      <c r="D7" s="794" t="e">
        <f ca="1">结果表!H102</f>
        <v>#REF!</v>
      </c>
    </row>
    <row r="8" spans="1:5" ht="15.75">
      <c r="B8" s="3194" t="str">
        <f>结果表!E103</f>
        <v>2.估价师知悉的法定优先受偿款</v>
      </c>
      <c r="C8" s="1390" t="s">
        <v>913</v>
      </c>
      <c r="D8" s="794">
        <f>结果表!H103</f>
        <v>0</v>
      </c>
    </row>
    <row r="9" spans="1:5" ht="15.75">
      <c r="B9" s="3196"/>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87" t="str">
        <f>结果表!E107</f>
        <v>3.房地产抵押价值</v>
      </c>
      <c r="C13" s="1393" t="s">
        <v>910</v>
      </c>
      <c r="D13" s="796" t="e">
        <f ca="1">结果表!H107</f>
        <v>#REF!</v>
      </c>
    </row>
    <row r="14" spans="1:5" ht="15.75">
      <c r="B14" s="3188"/>
      <c r="C14" s="1388" t="s">
        <v>911</v>
      </c>
      <c r="D14" s="793" t="e">
        <f ca="1">NUMBERSTRING(INT(D13*10000),2)&amp;"元整"</f>
        <v>#REF!</v>
      </c>
    </row>
    <row r="15" spans="1:5" ht="15">
      <c r="B15" s="3193"/>
      <c r="C15" s="1389" t="s">
        <v>921</v>
      </c>
      <c r="D15" s="802" t="e">
        <f ca="1">结果表!H108</f>
        <v>#REF!</v>
      </c>
    </row>
    <row r="16" spans="1:5" ht="15">
      <c r="B16" s="3194" t="str">
        <f>结果表!E109</f>
        <v>——</v>
      </c>
      <c r="C16" s="1393" t="s">
        <v>922</v>
      </c>
      <c r="D16" s="1394" t="str">
        <f>结果表!H109</f>
        <v>——</v>
      </c>
    </row>
    <row r="17" spans="1:5" ht="15.75">
      <c r="B17" s="3195"/>
      <c r="C17" s="1388" t="s">
        <v>923</v>
      </c>
      <c r="D17" s="793" t="e">
        <f>NUMBERSTRING(INT(D16*10000),2)&amp;"元整"</f>
        <v>#VALUE!</v>
      </c>
    </row>
    <row r="18" spans="1:5" ht="15">
      <c r="B18" s="3196"/>
      <c r="C18" s="1389" t="s">
        <v>912</v>
      </c>
      <c r="D18" s="802" t="str">
        <f>结果表!H110</f>
        <v>——</v>
      </c>
    </row>
    <row r="19" spans="1:5" ht="15.75">
      <c r="B19" s="3187" t="str">
        <f>结果表!E111</f>
        <v>——</v>
      </c>
      <c r="C19" s="1393" t="s">
        <v>910</v>
      </c>
      <c r="D19" s="794" t="str">
        <f>结果表!H111</f>
        <v>——</v>
      </c>
    </row>
    <row r="20" spans="1:5" ht="15.75">
      <c r="B20" s="3188"/>
      <c r="C20" s="1388" t="s">
        <v>923</v>
      </c>
      <c r="D20" s="793" t="e">
        <f>NUMBERSTRING(INT(D19*10000),2)&amp;"元整"</f>
        <v>#VALUE!</v>
      </c>
    </row>
    <row r="21" spans="1:5" ht="15.75" thickBot="1">
      <c r="B21" s="3189"/>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9" t="s">
        <v>2311</v>
      </c>
      <c r="B2" s="2587" t="e">
        <f>IF(D2="——",C40,C40+E2)</f>
        <v>#DIV/0!</v>
      </c>
      <c r="C2" s="2588" t="s">
        <v>2312</v>
      </c>
      <c r="D2" s="3129" t="s">
        <v>3354</v>
      </c>
      <c r="E2" s="3130"/>
      <c r="F2" s="2590"/>
      <c r="G2" s="2591"/>
      <c r="H2" s="2592"/>
      <c r="I2" s="2593"/>
      <c r="J2" s="3382" t="s">
        <v>2313</v>
      </c>
      <c r="K2" s="3383"/>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384" t="s">
        <v>2323</v>
      </c>
      <c r="K3" s="3385"/>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384" t="s">
        <v>2325</v>
      </c>
      <c r="K4" s="3385"/>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390" t="s">
        <v>2329</v>
      </c>
      <c r="B6" s="3391"/>
      <c r="C6" s="3392"/>
      <c r="D6" s="2614"/>
      <c r="E6" s="2615"/>
      <c r="F6" s="2616"/>
      <c r="G6" s="2617"/>
      <c r="H6" s="2592"/>
      <c r="I6" s="2593"/>
      <c r="J6" s="3376">
        <v>1</v>
      </c>
      <c r="K6" s="3377"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376"/>
      <c r="K7" s="3378"/>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393" t="s">
        <v>2343</v>
      </c>
      <c r="C8" s="3394"/>
      <c r="D8" s="2633" t="s">
        <v>2344</v>
      </c>
      <c r="E8" s="2634" t="s">
        <v>2345</v>
      </c>
      <c r="F8" s="2635" t="s">
        <v>2346</v>
      </c>
      <c r="G8" s="2636"/>
      <c r="H8" s="2592"/>
      <c r="I8" s="2593"/>
      <c r="J8" s="3376"/>
      <c r="K8" s="3378"/>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393" t="s">
        <v>2349</v>
      </c>
      <c r="C9" s="3394"/>
      <c r="D9" s="2633">
        <f>ROUND(D6*E9,0)</f>
        <v>0</v>
      </c>
      <c r="E9" s="2637"/>
      <c r="F9" s="2638" t="s">
        <v>2350</v>
      </c>
      <c r="G9" s="2617"/>
      <c r="H9" s="2592"/>
      <c r="I9" s="2593"/>
      <c r="J9" s="3376"/>
      <c r="K9" s="3378"/>
      <c r="L9" s="2627" t="s">
        <v>2351</v>
      </c>
      <c r="M9" s="2628"/>
      <c r="N9" s="2604"/>
      <c r="O9" s="2629"/>
      <c r="P9" s="2629"/>
      <c r="Q9" s="2630">
        <v>365</v>
      </c>
      <c r="R9" s="2631">
        <f t="shared" si="0"/>
        <v>0</v>
      </c>
      <c r="S9" s="2585"/>
      <c r="T9" s="2585"/>
      <c r="U9" s="2585"/>
      <c r="V9" s="2593"/>
    </row>
    <row r="10" spans="1:22" s="2597" customFormat="1" ht="13.15" customHeight="1">
      <c r="A10" s="2632">
        <v>2</v>
      </c>
      <c r="B10" s="3393" t="s">
        <v>2352</v>
      </c>
      <c r="C10" s="3394"/>
      <c r="D10" s="2633">
        <f>ROUND(D6*E10,0)</f>
        <v>0</v>
      </c>
      <c r="E10" s="2637"/>
      <c r="F10" s="2638" t="s">
        <v>2353</v>
      </c>
      <c r="G10" s="2617"/>
      <c r="H10" s="2592"/>
      <c r="I10" s="2593"/>
      <c r="J10" s="3376"/>
      <c r="K10" s="3378"/>
      <c r="L10" s="2627" t="s">
        <v>2354</v>
      </c>
      <c r="M10" s="2628"/>
      <c r="N10" s="2604"/>
      <c r="O10" s="2629"/>
      <c r="P10" s="2629"/>
      <c r="Q10" s="2630">
        <v>365</v>
      </c>
      <c r="R10" s="2631">
        <f t="shared" si="0"/>
        <v>0</v>
      </c>
      <c r="S10" s="2585"/>
      <c r="T10" s="2585"/>
      <c r="U10" s="2585"/>
      <c r="V10" s="2593"/>
    </row>
    <row r="11" spans="1:22" s="2597" customFormat="1" ht="13.15" customHeight="1">
      <c r="A11" s="2632">
        <v>3</v>
      </c>
      <c r="B11" s="3393" t="s">
        <v>2355</v>
      </c>
      <c r="C11" s="3394"/>
      <c r="D11" s="2633">
        <f>D12+D14+D15+D16</f>
        <v>0</v>
      </c>
      <c r="E11" s="2639" t="e">
        <f>D11/D6</f>
        <v>#DIV/0!</v>
      </c>
      <c r="F11" s="2635"/>
      <c r="G11" s="2636"/>
      <c r="H11" s="2592"/>
      <c r="I11" s="2593"/>
      <c r="J11" s="3376"/>
      <c r="K11" s="3378"/>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386" t="s">
        <v>2358</v>
      </c>
      <c r="C12" s="3387"/>
      <c r="D12" s="2641">
        <f>ROUND(D13*1.2%*(1-30%),0)</f>
        <v>0</v>
      </c>
      <c r="E12" s="2642">
        <v>1.2E-2</v>
      </c>
      <c r="F12" s="2635" t="s">
        <v>2359</v>
      </c>
      <c r="G12" s="2636"/>
      <c r="H12" s="2592"/>
      <c r="I12" s="2593"/>
      <c r="J12" s="3376"/>
      <c r="K12" s="3378"/>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376"/>
      <c r="K13" s="3378"/>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386" t="s">
        <v>2364</v>
      </c>
      <c r="C14" s="3387"/>
      <c r="D14" s="2641">
        <f>ROUND(E14*B5/10000,0)</f>
        <v>0</v>
      </c>
      <c r="E14" s="2630"/>
      <c r="F14" s="2635" t="s">
        <v>2365</v>
      </c>
      <c r="G14" s="2636"/>
      <c r="H14" s="2592"/>
      <c r="I14" s="2593"/>
      <c r="J14" s="3376"/>
      <c r="K14" s="3379"/>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386" t="s">
        <v>2368</v>
      </c>
      <c r="C15" s="3387"/>
      <c r="D15" s="2641">
        <f>ROUND(D6*E15,0)</f>
        <v>0</v>
      </c>
      <c r="E15" s="2642">
        <v>5.5E-2</v>
      </c>
      <c r="F15" s="2635" t="s">
        <v>2369</v>
      </c>
      <c r="G15" s="2617"/>
      <c r="H15" s="2592"/>
      <c r="I15" s="2593"/>
      <c r="J15" s="3376">
        <v>2</v>
      </c>
      <c r="K15" s="3377"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386" t="s">
        <v>2377</v>
      </c>
      <c r="C16" s="3387"/>
      <c r="D16" s="2652">
        <f>D6*E16</f>
        <v>0</v>
      </c>
      <c r="E16" s="2653"/>
      <c r="F16" s="2638" t="s">
        <v>2378</v>
      </c>
      <c r="G16" s="2617"/>
      <c r="H16" s="2592"/>
      <c r="I16" s="2593"/>
      <c r="J16" s="3376"/>
      <c r="K16" s="3378"/>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388" t="s">
        <v>2380</v>
      </c>
      <c r="C17" s="3389"/>
      <c r="D17" s="2655">
        <f>ROUND(D6*E17,0)</f>
        <v>0</v>
      </c>
      <c r="E17" s="2656"/>
      <c r="F17" s="2657" t="s">
        <v>2381</v>
      </c>
      <c r="G17" s="2617"/>
      <c r="H17" s="2592"/>
      <c r="I17" s="2593"/>
      <c r="J17" s="3376"/>
      <c r="K17" s="3378"/>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376"/>
      <c r="K18" s="3378"/>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376"/>
      <c r="K19" s="3379"/>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76">
        <v>3</v>
      </c>
      <c r="K20" s="3377"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376"/>
      <c r="K21" s="3378"/>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376"/>
      <c r="K22" s="3378"/>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376"/>
      <c r="K23" s="3378"/>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376"/>
      <c r="K24" s="3379"/>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380">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381"/>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382" t="s">
        <v>2313</v>
      </c>
      <c r="K32" s="3383"/>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384" t="s">
        <v>2323</v>
      </c>
      <c r="K33" s="3385"/>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384" t="s">
        <v>2325</v>
      </c>
      <c r="K34" s="3385"/>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376">
        <v>1</v>
      </c>
      <c r="K36" s="3377"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376"/>
      <c r="K37" s="3378"/>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76"/>
      <c r="K38" s="3378"/>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376"/>
      <c r="K39" s="3378"/>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376"/>
      <c r="K40" s="3379"/>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380">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381"/>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1658</v>
      </c>
      <c r="B1" s="1722"/>
      <c r="C1" s="1722"/>
      <c r="D1" s="1722"/>
      <c r="E1" s="1723"/>
      <c r="F1" s="2472"/>
      <c r="G1" s="459"/>
      <c r="H1" s="459"/>
      <c r="I1" s="459"/>
      <c r="J1" s="459"/>
      <c r="K1" s="459"/>
      <c r="L1" s="459"/>
      <c r="M1" s="459"/>
      <c r="N1" s="459"/>
      <c r="O1" s="459"/>
      <c r="P1" s="459"/>
      <c r="Q1" s="459"/>
      <c r="R1" s="459"/>
      <c r="S1" s="459"/>
    </row>
    <row r="2" spans="1:22" ht="15.75">
      <c r="A2" s="1724" t="s">
        <v>1462</v>
      </c>
      <c r="B2" s="807">
        <f ca="1">SUMIF(B6:B13,"&lt;&gt;#ref!",B6:B13)</f>
        <v>64.686800000000005</v>
      </c>
      <c r="C2" s="1725" t="s">
        <v>1651</v>
      </c>
      <c r="D2" s="1726" t="s">
        <v>1652</v>
      </c>
      <c r="E2" s="2385">
        <f>SUM(E6:E13)</f>
        <v>154.79</v>
      </c>
      <c r="F2" s="2472"/>
      <c r="G2" s="459"/>
      <c r="H2" s="459"/>
      <c r="I2" s="459"/>
      <c r="J2" s="459"/>
      <c r="K2" s="459"/>
      <c r="L2" s="459"/>
      <c r="M2" s="459"/>
      <c r="N2" s="459"/>
      <c r="O2" s="459"/>
      <c r="P2" s="459"/>
      <c r="Q2" s="459"/>
      <c r="R2" s="459"/>
      <c r="S2" s="459"/>
    </row>
    <row r="3" spans="1:22" ht="15.75">
      <c r="A3" s="1724" t="s">
        <v>686</v>
      </c>
      <c r="B3" s="2379">
        <f ca="1">ROUND(B2*10000/E2,0)</f>
        <v>4179</v>
      </c>
      <c r="C3" s="1725" t="s">
        <v>1659</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1" t="s">
        <v>1653</v>
      </c>
      <c r="B5" s="3395" t="s">
        <v>1654</v>
      </c>
      <c r="C5" s="3396"/>
      <c r="D5" s="2473"/>
      <c r="E5" s="1727" t="s">
        <v>1655</v>
      </c>
      <c r="F5" s="129" t="s">
        <v>1656</v>
      </c>
      <c r="G5" s="459"/>
      <c r="H5" s="459"/>
      <c r="I5" s="459"/>
      <c r="J5" s="459"/>
      <c r="K5" s="459"/>
      <c r="L5" s="459"/>
      <c r="M5" s="459"/>
      <c r="N5" s="459"/>
      <c r="O5" s="459"/>
      <c r="P5" s="459"/>
      <c r="Q5" s="459"/>
      <c r="R5" s="459"/>
      <c r="S5" s="459"/>
    </row>
    <row r="6" spans="1:22">
      <c r="A6" s="2382" t="str">
        <f>'数据-取费表'!AN6</f>
        <v>收益法 (元)</v>
      </c>
      <c r="B6" s="2380">
        <f ca="1">IF(F6="是",'数据-取费表'!AO6,0)</f>
        <v>64.686800000000005</v>
      </c>
      <c r="C6" s="1725" t="s">
        <v>1651</v>
      </c>
      <c r="D6" s="2472"/>
      <c r="E6" s="2384">
        <f>IF(OR(A6=0,F6="否"),0,'数据-取费表'!K6+'数据-取费表'!S6)</f>
        <v>154.79</v>
      </c>
      <c r="F6" s="1728" t="s">
        <v>1657</v>
      </c>
      <c r="G6" s="459"/>
      <c r="H6" s="459"/>
      <c r="I6" s="459"/>
      <c r="J6" s="459"/>
      <c r="K6" s="459"/>
      <c r="L6" s="459"/>
      <c r="M6" s="459"/>
      <c r="N6" s="459"/>
      <c r="O6" s="459"/>
      <c r="P6" s="459"/>
      <c r="Q6" s="459"/>
      <c r="R6" s="459"/>
      <c r="S6" s="459"/>
    </row>
    <row r="7" spans="1:22">
      <c r="A7" s="2382">
        <f>'数据-取费表'!AN7</f>
        <v>0</v>
      </c>
      <c r="B7" s="2380" t="e">
        <f ca="1">IF(F7="是",'数据-取费表'!AO7,0)</f>
        <v>#REF!</v>
      </c>
      <c r="C7" s="1725" t="s">
        <v>1651</v>
      </c>
      <c r="D7" s="2472"/>
      <c r="E7" s="2384">
        <f>IF(OR(A7=0,F7="否"),0,'数据-取费表'!K7+'数据-取费表'!S7)</f>
        <v>0</v>
      </c>
      <c r="F7" s="1728" t="s">
        <v>1657</v>
      </c>
      <c r="G7" s="459"/>
      <c r="H7" s="459"/>
      <c r="I7" s="459"/>
      <c r="J7" s="459"/>
      <c r="K7" s="459"/>
      <c r="L7" s="459"/>
      <c r="M7" s="459"/>
      <c r="N7" s="459"/>
      <c r="O7" s="459"/>
      <c r="P7" s="459"/>
      <c r="Q7" s="459"/>
      <c r="R7" s="459"/>
      <c r="S7" s="459"/>
    </row>
    <row r="8" spans="1:22">
      <c r="A8" s="2382">
        <f>'数据-取费表'!AN8</f>
        <v>0</v>
      </c>
      <c r="B8" s="2380" t="e">
        <f ca="1">IF(F8="是",'数据-取费表'!AO8,0)</f>
        <v>#REF!</v>
      </c>
      <c r="C8" s="1725" t="s">
        <v>1651</v>
      </c>
      <c r="D8" s="2472"/>
      <c r="E8" s="2384">
        <f>IF(OR(A8=0,F8="否"),0,'数据-取费表'!K8+'数据-取费表'!S8)</f>
        <v>0</v>
      </c>
      <c r="F8" s="1728" t="s">
        <v>1657</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1651</v>
      </c>
      <c r="D9" s="2472"/>
      <c r="E9" s="2384">
        <f>IF(OR(A9=0,F9="否"),0,'数据-取费表'!K9+'数据-取费表'!S9)</f>
        <v>0</v>
      </c>
      <c r="F9" s="1728" t="s">
        <v>1657</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1651</v>
      </c>
      <c r="D10" s="2472"/>
      <c r="E10" s="2384">
        <f>IF(OR(A10=0,F10="否"),0,'数据-取费表'!K10+'数据-取费表'!S10)</f>
        <v>0</v>
      </c>
      <c r="F10" s="1728" t="s">
        <v>1657</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1651</v>
      </c>
      <c r="D11" s="2472"/>
      <c r="E11" s="2384">
        <f>IF(OR(A11=0,F11="否"),0,'数据-取费表'!K11+'数据-取费表'!S11)</f>
        <v>0</v>
      </c>
      <c r="F11" s="1728" t="s">
        <v>1657</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1651</v>
      </c>
      <c r="D12" s="2472"/>
      <c r="E12" s="2384">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0" zoomScale="85" zoomScaleNormal="60" zoomScaleSheetLayoutView="85" workbookViewId="0">
      <selection activeCell="K34" sqref="K3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1661</v>
      </c>
      <c r="C1" s="1151" t="s">
        <v>1662</v>
      </c>
      <c r="D1" s="1138" t="s">
        <v>3401</v>
      </c>
      <c r="E1" s="3116" t="s">
        <v>3469</v>
      </c>
      <c r="F1" s="1731" t="s">
        <v>3470</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f>IF(E1="项目模式",IF(C2="——",ROUND(C49*D3/10000,0),ROUND(C49*D3/10000,0)-D2),IF(E1="单套模式",IF(C2="——",ROUND(C49*D3/10000,4),ROUND(C49*D3/10000,4)-D2)))</f>
        <v>112.4085</v>
      </c>
      <c r="C2" s="1733" t="s">
        <v>43</v>
      </c>
      <c r="D2" s="1048" t="e">
        <f ca="1">IF(E1="项目模式",SUMIF(INDIRECT("'"&amp;F2&amp;"'"&amp;"!A:A"),"承租人权益价值",INDIRECT("'"&amp;F2&amp;"'"&amp;"!c:c")),SUMIF(INDIRECT("'"&amp;F2&amp;"'"&amp;"!A:A"),"承租人权益价值（单套）",INDIRECT("'"&amp;F2&amp;"'"&amp;"!c:c")))</f>
        <v>#REF!</v>
      </c>
      <c r="E2" s="1734" t="s">
        <v>1664</v>
      </c>
      <c r="F2" s="1735"/>
      <c r="G2" s="850"/>
      <c r="H2" s="850"/>
      <c r="I2" s="850"/>
      <c r="J2" s="850"/>
      <c r="K2" s="1736"/>
      <c r="L2" s="2477"/>
      <c r="M2" s="2478"/>
      <c r="N2" s="2478"/>
      <c r="O2" s="2478"/>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7262</v>
      </c>
      <c r="C3" s="344" t="s">
        <v>1665</v>
      </c>
      <c r="D3" s="343">
        <f>IF(D1="",'数据-汇总表'!E3,SUMIF('数据-汇总表'!$C19:$C33,D1,'数据-汇总表'!$E19:$E33))</f>
        <v>154.79</v>
      </c>
      <c r="E3" s="850"/>
      <c r="F3" s="1739"/>
      <c r="G3" s="850"/>
      <c r="H3" s="850"/>
      <c r="I3" s="850"/>
      <c r="J3" s="850"/>
      <c r="K3" s="1736"/>
      <c r="L3" s="2477"/>
      <c r="M3" s="2478"/>
      <c r="N3" s="2478"/>
      <c r="O3" s="2478"/>
      <c r="P3" s="1737"/>
      <c r="Q3" s="1738"/>
      <c r="R3" s="1738"/>
      <c r="S3" s="1738"/>
      <c r="T3" s="1738"/>
      <c r="U3" s="1738"/>
      <c r="V3" s="1738"/>
      <c r="W3" s="1738"/>
      <c r="X3" s="1738"/>
      <c r="Y3" s="1738"/>
      <c r="Z3" s="1738"/>
      <c r="AA3" s="1738"/>
      <c r="AB3" s="1738"/>
      <c r="AC3" s="994"/>
    </row>
    <row r="4" spans="1:29" ht="15">
      <c r="A4" s="345" t="s">
        <v>1666</v>
      </c>
      <c r="B4" s="346"/>
      <c r="C4" s="3415" t="s">
        <v>1667</v>
      </c>
      <c r="D4" s="3416"/>
      <c r="E4" s="3417" t="s">
        <v>1668</v>
      </c>
      <c r="F4" s="3418"/>
      <c r="G4" s="3415" t="s">
        <v>1669</v>
      </c>
      <c r="H4" s="3416"/>
      <c r="I4" s="3415" t="s">
        <v>1670</v>
      </c>
      <c r="J4" s="3416"/>
      <c r="K4" s="1740" t="s">
        <v>1671</v>
      </c>
      <c r="L4" s="2479"/>
      <c r="M4" s="2480"/>
      <c r="N4" s="2480"/>
      <c r="O4" s="2480"/>
      <c r="P4" s="3419" t="s">
        <v>1672</v>
      </c>
      <c r="Q4" s="3420"/>
      <c r="R4" s="3425" t="s">
        <v>1668</v>
      </c>
      <c r="S4" s="3426"/>
      <c r="T4" s="3425" t="s">
        <v>1669</v>
      </c>
      <c r="U4" s="3426"/>
      <c r="V4" s="3401" t="s">
        <v>1670</v>
      </c>
      <c r="W4" s="3401"/>
      <c r="X4" s="1261"/>
      <c r="Y4" s="3425" t="s">
        <v>1672</v>
      </c>
      <c r="Z4" s="3426"/>
      <c r="AA4" s="3412" t="s">
        <v>1668</v>
      </c>
      <c r="AB4" s="3412" t="s">
        <v>1669</v>
      </c>
      <c r="AC4" s="3412" t="s">
        <v>1670</v>
      </c>
    </row>
    <row r="5" spans="1:29" ht="15">
      <c r="A5" s="348"/>
      <c r="B5" s="349"/>
      <c r="C5" s="3438" t="s">
        <v>3472</v>
      </c>
      <c r="D5" s="3439"/>
      <c r="E5" s="3433" t="s">
        <v>3471</v>
      </c>
      <c r="F5" s="3434"/>
      <c r="G5" s="3433" t="s">
        <v>3471</v>
      </c>
      <c r="H5" s="3434"/>
      <c r="I5" s="3433" t="s">
        <v>3471</v>
      </c>
      <c r="J5" s="3434"/>
      <c r="K5" s="1741"/>
      <c r="L5" s="2479"/>
      <c r="M5" s="2480"/>
      <c r="N5" s="2480"/>
      <c r="O5" s="2480"/>
      <c r="P5" s="3421"/>
      <c r="Q5" s="3422"/>
      <c r="R5" s="3427"/>
      <c r="S5" s="3428"/>
      <c r="T5" s="3427"/>
      <c r="U5" s="3428"/>
      <c r="V5" s="3401"/>
      <c r="W5" s="3401"/>
      <c r="X5" s="1261"/>
      <c r="Y5" s="3427"/>
      <c r="Z5" s="3428"/>
      <c r="AA5" s="3413"/>
      <c r="AB5" s="3413"/>
      <c r="AC5" s="3413"/>
    </row>
    <row r="6" spans="1:29" ht="15.75" thickBot="1">
      <c r="A6" s="350"/>
      <c r="B6" s="351"/>
      <c r="C6" s="3431" t="s">
        <v>1677</v>
      </c>
      <c r="D6" s="3432"/>
      <c r="E6" s="3440" t="s">
        <v>1677</v>
      </c>
      <c r="F6" s="3441"/>
      <c r="G6" s="3431" t="s">
        <v>1677</v>
      </c>
      <c r="H6" s="3432"/>
      <c r="I6" s="3431" t="s">
        <v>1677</v>
      </c>
      <c r="J6" s="3432"/>
      <c r="K6" s="1741" t="s">
        <v>1678</v>
      </c>
      <c r="L6" s="2479"/>
      <c r="M6" s="2480"/>
      <c r="N6" s="2480"/>
      <c r="O6" s="2480"/>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f>案例!D57</f>
        <v>45778</v>
      </c>
      <c r="F7" s="357">
        <f>SUMIF(58:58,YEAR(E7)&amp;"-"&amp;MONTH(E7),59:59)</f>
        <v>103.99999999999999</v>
      </c>
      <c r="G7" s="356">
        <f>案例!D58</f>
        <v>45839</v>
      </c>
      <c r="H7" s="355">
        <f>SUMIF(58:58,YEAR(G7)&amp;"-"&amp;MONTH(G7),59:59)</f>
        <v>102.39999999999999</v>
      </c>
      <c r="I7" s="356">
        <v>45931</v>
      </c>
      <c r="J7" s="355">
        <f>SUMIF(58:58,YEAR(I7)&amp;"-"&amp;MONTH(I7),59:59)</f>
        <v>100</v>
      </c>
      <c r="K7" s="1742"/>
      <c r="L7" s="2481"/>
      <c r="M7" s="2432"/>
      <c r="N7" s="2432"/>
      <c r="O7" s="2432"/>
      <c r="P7" s="3435" t="s">
        <v>1680</v>
      </c>
      <c r="Q7" s="3437"/>
      <c r="R7" s="664" t="s">
        <v>20</v>
      </c>
      <c r="S7" s="665">
        <f t="shared" ref="S7:S15" si="0">F7</f>
        <v>103.99999999999999</v>
      </c>
      <c r="T7" s="664" t="s">
        <v>20</v>
      </c>
      <c r="U7" s="665">
        <f t="shared" ref="U7:U15" si="1">H7</f>
        <v>102.39999999999999</v>
      </c>
      <c r="V7" s="664" t="s">
        <v>20</v>
      </c>
      <c r="W7" s="665">
        <f t="shared" ref="W7:W15" si="2">J7</f>
        <v>100</v>
      </c>
      <c r="X7" s="666"/>
      <c r="Y7" s="3435" t="s">
        <v>1680</v>
      </c>
      <c r="Z7" s="3436"/>
      <c r="AA7" s="50">
        <f>D7/F7</f>
        <v>0.96153846153846168</v>
      </c>
      <c r="AB7" s="50">
        <f>D7/H7</f>
        <v>0.97656250000000011</v>
      </c>
      <c r="AC7" s="50">
        <f>D7/J7</f>
        <v>1</v>
      </c>
    </row>
    <row r="8" spans="1:29" s="102" customFormat="1" ht="15.75" thickBot="1">
      <c r="A8" s="352" t="s">
        <v>1681</v>
      </c>
      <c r="B8" s="353"/>
      <c r="C8" s="358" t="s">
        <v>3473</v>
      </c>
      <c r="D8" s="355">
        <v>100</v>
      </c>
      <c r="E8" s="1743" t="s">
        <v>3473</v>
      </c>
      <c r="F8" s="357">
        <f>SUMIF(61:61,E8,62:62)-SUMIF(61:61,C8,62:62)+100</f>
        <v>100</v>
      </c>
      <c r="G8" s="358" t="s">
        <v>3473</v>
      </c>
      <c r="H8" s="355">
        <f>SUMIF(61:61,G8,62:62)-SUMIF(61:61,C8,62:62)+100</f>
        <v>100</v>
      </c>
      <c r="I8" s="1743" t="s">
        <v>3495</v>
      </c>
      <c r="J8" s="355">
        <f>SUMIF(61:61,I8,62:62)-SUMIF(61:61,C8,62:62)+100</f>
        <v>105</v>
      </c>
      <c r="K8" s="1742"/>
      <c r="L8" s="2481"/>
      <c r="M8" s="2432"/>
      <c r="N8" s="2432"/>
      <c r="O8" s="2432"/>
      <c r="P8" s="3435" t="s">
        <v>1683</v>
      </c>
      <c r="Q8" s="3436"/>
      <c r="R8" s="664" t="s">
        <v>20</v>
      </c>
      <c r="S8" s="665">
        <f t="shared" si="0"/>
        <v>100</v>
      </c>
      <c r="T8" s="664" t="s">
        <v>20</v>
      </c>
      <c r="U8" s="665">
        <f t="shared" si="1"/>
        <v>100</v>
      </c>
      <c r="V8" s="664" t="s">
        <v>20</v>
      </c>
      <c r="W8" s="665">
        <f t="shared" si="2"/>
        <v>105</v>
      </c>
      <c r="X8" s="666"/>
      <c r="Y8" s="3435" t="s">
        <v>1683</v>
      </c>
      <c r="Z8" s="3436"/>
      <c r="AA8" s="50">
        <f t="shared" ref="AA8:AA19" si="3">D8/F8</f>
        <v>1</v>
      </c>
      <c r="AB8" s="50">
        <f t="shared" ref="AB8:AB19" si="4">D8/H8</f>
        <v>1</v>
      </c>
      <c r="AC8" s="50">
        <f t="shared" ref="AC8:AC19" si="5">D8/J8</f>
        <v>0.95238095238095233</v>
      </c>
    </row>
    <row r="9" spans="1:29" s="102" customFormat="1">
      <c r="A9" s="359" t="s">
        <v>1684</v>
      </c>
      <c r="B9" s="60" t="s">
        <v>1685</v>
      </c>
      <c r="C9" s="3172" t="s">
        <v>3474</v>
      </c>
      <c r="D9" s="59">
        <v>100</v>
      </c>
      <c r="E9" s="361" t="s">
        <v>3401</v>
      </c>
      <c r="F9" s="60">
        <f>SUMIF(63:63,E9,64:64)-SUMIF(63:63,C9,64:64)+100</f>
        <v>100</v>
      </c>
      <c r="G9" s="362" t="s">
        <v>3401</v>
      </c>
      <c r="H9" s="59">
        <f>SUMIF(63:63,G9,64:64)-SUMIF(63:63,C9,64:64)+100</f>
        <v>100</v>
      </c>
      <c r="I9" s="362" t="s">
        <v>3401</v>
      </c>
      <c r="J9" s="59">
        <f>SUMIF(63:63,I9,64:64)-SUMIF(63:63,C9,64:64)+100</f>
        <v>100</v>
      </c>
      <c r="K9" s="1742"/>
      <c r="L9" s="2481"/>
      <c r="M9" s="2432"/>
      <c r="N9" s="2432"/>
      <c r="O9" s="2432"/>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hidden="1">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2"/>
      <c r="M10" s="2483"/>
      <c r="N10" s="2483"/>
      <c r="O10" s="2483"/>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411"/>
      <c r="Q11" s="530" t="str">
        <f t="shared" si="6"/>
        <v>容积率</v>
      </c>
      <c r="R11" s="664" t="s">
        <v>18</v>
      </c>
      <c r="S11" s="665">
        <f t="shared" si="0"/>
        <v>100</v>
      </c>
      <c r="T11" s="664" t="s">
        <v>18</v>
      </c>
      <c r="U11" s="665">
        <f t="shared" si="1"/>
        <v>100</v>
      </c>
      <c r="V11" s="664" t="s">
        <v>18</v>
      </c>
      <c r="W11" s="665">
        <f t="shared" si="2"/>
        <v>100</v>
      </c>
      <c r="X11" s="666"/>
      <c r="Y11" s="3275"/>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1"/>
      <c r="M12" s="2432"/>
      <c r="N12" s="2432"/>
      <c r="O12" s="2432"/>
      <c r="P12" s="3411"/>
      <c r="Q12" s="530">
        <f t="shared" si="6"/>
        <v>111</v>
      </c>
      <c r="R12" s="664" t="s">
        <v>18</v>
      </c>
      <c r="S12" s="665">
        <f t="shared" si="0"/>
        <v>100</v>
      </c>
      <c r="T12" s="664" t="s">
        <v>18</v>
      </c>
      <c r="U12" s="665">
        <f t="shared" si="1"/>
        <v>100</v>
      </c>
      <c r="V12" s="664" t="s">
        <v>18</v>
      </c>
      <c r="W12" s="665">
        <f t="shared" si="2"/>
        <v>100</v>
      </c>
      <c r="X12" s="666"/>
      <c r="Y12" s="327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5"/>
      <c r="M13" s="2480"/>
      <c r="N13" s="2480"/>
      <c r="O13" s="2480"/>
      <c r="P13" s="3411"/>
      <c r="Q13" s="530">
        <f t="shared" si="6"/>
        <v>111</v>
      </c>
      <c r="R13" s="664" t="s">
        <v>18</v>
      </c>
      <c r="S13" s="665">
        <f t="shared" si="0"/>
        <v>100</v>
      </c>
      <c r="T13" s="664" t="s">
        <v>18</v>
      </c>
      <c r="U13" s="665">
        <f t="shared" si="1"/>
        <v>100</v>
      </c>
      <c r="V13" s="664" t="s">
        <v>18</v>
      </c>
      <c r="W13" s="665">
        <f t="shared" si="2"/>
        <v>100</v>
      </c>
      <c r="X13" s="666"/>
      <c r="Y13" s="3275"/>
      <c r="Z13" s="50">
        <f t="shared" si="7"/>
        <v>111</v>
      </c>
      <c r="AA13" s="50">
        <f t="shared" si="3"/>
        <v>1</v>
      </c>
      <c r="AB13" s="50">
        <f t="shared" si="4"/>
        <v>1</v>
      </c>
      <c r="AC13" s="50">
        <f t="shared" si="5"/>
        <v>1</v>
      </c>
    </row>
    <row r="14" spans="1:29" ht="15.75" thickBot="1">
      <c r="A14" s="375"/>
      <c r="B14" s="3173" t="s">
        <v>3475</v>
      </c>
      <c r="C14" s="3174" t="s">
        <v>3476</v>
      </c>
      <c r="D14" s="377">
        <v>100</v>
      </c>
      <c r="E14" s="3174" t="s">
        <v>3476</v>
      </c>
      <c r="F14" s="378">
        <f>SUMIF(74:74,E14,75:75)-SUMIF(74:74,C14,75:75)+100</f>
        <v>100</v>
      </c>
      <c r="G14" s="3174" t="s">
        <v>3476</v>
      </c>
      <c r="H14" s="377">
        <f>SUMIF(74:74,G14,75:75)-SUMIF(74:74,C14,75:75)+100</f>
        <v>100</v>
      </c>
      <c r="I14" s="3174" t="s">
        <v>3476</v>
      </c>
      <c r="J14" s="377">
        <f>SUMIF(74:74,I14,75:75)-SUMIF(74:74,C14,75:75)+100</f>
        <v>100</v>
      </c>
      <c r="K14" s="1744"/>
      <c r="L14" s="2485"/>
      <c r="M14" s="2480"/>
      <c r="N14" s="2480"/>
      <c r="O14" s="2480"/>
      <c r="P14" s="3411"/>
      <c r="Q14" s="530" t="str">
        <f t="shared" si="6"/>
        <v>房屋性质</v>
      </c>
      <c r="R14" s="664" t="s">
        <v>18</v>
      </c>
      <c r="S14" s="665">
        <f t="shared" si="0"/>
        <v>100</v>
      </c>
      <c r="T14" s="664" t="s">
        <v>18</v>
      </c>
      <c r="U14" s="665">
        <f t="shared" si="1"/>
        <v>100</v>
      </c>
      <c r="V14" s="664" t="s">
        <v>18</v>
      </c>
      <c r="W14" s="665">
        <f t="shared" si="2"/>
        <v>100</v>
      </c>
      <c r="X14" s="666"/>
      <c r="Y14" s="3275"/>
      <c r="Z14" s="50" t="str">
        <f t="shared" si="7"/>
        <v>房屋性质</v>
      </c>
      <c r="AA14" s="50">
        <f t="shared" si="3"/>
        <v>1</v>
      </c>
      <c r="AB14" s="50">
        <f t="shared" si="4"/>
        <v>1</v>
      </c>
      <c r="AC14" s="50">
        <f t="shared" si="5"/>
        <v>1</v>
      </c>
    </row>
    <row r="15" spans="1:29" ht="71.25">
      <c r="A15" s="379" t="s">
        <v>1690</v>
      </c>
      <c r="B15" s="58" t="s">
        <v>1257</v>
      </c>
      <c r="C15" s="1746" t="str">
        <f>估价对象房地状况!C3</f>
        <v>周边有阳光嘉苑、瑞祥花园、园田花园、四月天等住宅小区，居住社区成熟度较好。</v>
      </c>
      <c r="D15" s="380">
        <v>100</v>
      </c>
      <c r="E15" s="3175" t="s">
        <v>3478</v>
      </c>
      <c r="F15" s="380">
        <f>SUMIF(76:76,E16,77:77)-SUMIF(76:76,C16,77:77)+100</f>
        <v>100</v>
      </c>
      <c r="G15" s="381" t="str">
        <f>E15</f>
        <v>周边有阳光嘉苑、瑞祥花园、园田花园、四月天等住宅小区，居住社区成熟度较好。</v>
      </c>
      <c r="H15" s="380">
        <f>SUMIF(76:76,G16,77:77)-SUMIF(76:76,C16,77:77)+100</f>
        <v>100</v>
      </c>
      <c r="I15" s="381" t="str">
        <f>E15</f>
        <v>周边有阳光嘉苑、瑞祥花园、园田花园、四月天等住宅小区，居住社区成熟度较好。</v>
      </c>
      <c r="J15" s="380">
        <f>SUMIF(76:76,I16,77:77)-SUMIF(76:76,C16,77:77)+100</f>
        <v>100</v>
      </c>
      <c r="K15" s="384"/>
      <c r="L15" s="2485"/>
      <c r="M15" s="2480"/>
      <c r="N15" s="2480"/>
      <c r="O15" s="2480"/>
      <c r="P15" s="3409" t="s">
        <v>1691</v>
      </c>
      <c r="Q15" s="1259" t="str">
        <f t="shared" si="6"/>
        <v>居住社区成熟度</v>
      </c>
      <c r="R15" s="667" t="s">
        <v>18</v>
      </c>
      <c r="S15" s="668">
        <f t="shared" si="0"/>
        <v>100</v>
      </c>
      <c r="T15" s="667" t="s">
        <v>18</v>
      </c>
      <c r="U15" s="668">
        <f t="shared" si="1"/>
        <v>100</v>
      </c>
      <c r="V15" s="667" t="s">
        <v>18</v>
      </c>
      <c r="W15" s="668">
        <f t="shared" si="2"/>
        <v>100</v>
      </c>
      <c r="X15" s="1261"/>
      <c r="Y15" s="3402" t="s">
        <v>1691</v>
      </c>
      <c r="Z15" s="1260" t="str">
        <f t="shared" si="7"/>
        <v>居住社区成熟度</v>
      </c>
      <c r="AA15" s="1260">
        <f t="shared" si="3"/>
        <v>1</v>
      </c>
      <c r="AB15" s="1260">
        <f t="shared" si="4"/>
        <v>1</v>
      </c>
      <c r="AC15" s="1260">
        <f t="shared" si="5"/>
        <v>1</v>
      </c>
    </row>
    <row r="16" spans="1:29" ht="15">
      <c r="A16" s="367"/>
      <c r="B16" s="385"/>
      <c r="C16" s="386" t="s">
        <v>3426</v>
      </c>
      <c r="D16" s="387"/>
      <c r="E16" s="1747" t="s">
        <v>3426</v>
      </c>
      <c r="F16" s="387"/>
      <c r="G16" s="1748" t="s">
        <v>3426</v>
      </c>
      <c r="H16" s="389"/>
      <c r="I16" s="1748" t="s">
        <v>3426</v>
      </c>
      <c r="J16" s="387"/>
      <c r="K16" s="1749"/>
      <c r="L16" s="2485"/>
      <c r="M16" s="2480"/>
      <c r="N16" s="2480"/>
      <c r="O16" s="2480"/>
      <c r="P16" s="3410"/>
      <c r="Q16" s="1259"/>
      <c r="R16" s="667"/>
      <c r="S16" s="668"/>
      <c r="T16" s="667"/>
      <c r="U16" s="668"/>
      <c r="V16" s="667"/>
      <c r="W16" s="668"/>
      <c r="X16" s="1261"/>
      <c r="Y16" s="3403"/>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176" t="s">
        <v>3479</v>
      </c>
      <c r="F17" s="389">
        <f>SUMIF(78:78,E18,79:79)-SUMIF(78:78,C18,79:79)+100</f>
        <v>100</v>
      </c>
      <c r="G17" s="391" t="str">
        <f>E17</f>
        <v>周边有196路、B38路、Y25路等多条公交线路，综合评价交通便捷度一般</v>
      </c>
      <c r="H17" s="394">
        <f>SUMIF(78:78,G18,79:79)-SUMIF(78:78,C18,79:79)+100</f>
        <v>100</v>
      </c>
      <c r="I17" s="391" t="str">
        <f>E17</f>
        <v>周边有196路、B38路、Y25路等多条公交线路，综合评价交通便捷度一般</v>
      </c>
      <c r="J17" s="394">
        <f>SUMIF(78:78,I18,79:79)-SUMIF(78:78,C18,79:79)+100</f>
        <v>100</v>
      </c>
      <c r="K17" s="384"/>
      <c r="L17" s="2485"/>
      <c r="M17" s="2480"/>
      <c r="N17" s="2480"/>
      <c r="O17" s="2480"/>
      <c r="P17" s="3410"/>
      <c r="Q17" s="1259" t="str">
        <f>B17</f>
        <v>交通便捷度</v>
      </c>
      <c r="R17" s="667" t="s">
        <v>18</v>
      </c>
      <c r="S17" s="668">
        <f>F17</f>
        <v>100</v>
      </c>
      <c r="T17" s="667" t="s">
        <v>18</v>
      </c>
      <c r="U17" s="668">
        <f>H17</f>
        <v>100</v>
      </c>
      <c r="V17" s="667" t="s">
        <v>18</v>
      </c>
      <c r="W17" s="668">
        <f>J17</f>
        <v>100</v>
      </c>
      <c r="X17" s="1261"/>
      <c r="Y17" s="3403"/>
      <c r="Z17" s="1260" t="str">
        <f>Q17</f>
        <v>交通便捷度</v>
      </c>
      <c r="AA17" s="1260">
        <f t="shared" si="3"/>
        <v>1</v>
      </c>
      <c r="AB17" s="1260">
        <f t="shared" si="4"/>
        <v>1</v>
      </c>
      <c r="AC17" s="1260">
        <f t="shared" si="5"/>
        <v>1</v>
      </c>
    </row>
    <row r="18" spans="1:29" ht="15">
      <c r="A18" s="367"/>
      <c r="B18" s="395"/>
      <c r="C18" s="1751" t="s">
        <v>3428</v>
      </c>
      <c r="D18" s="389"/>
      <c r="E18" s="1752" t="s">
        <v>3428</v>
      </c>
      <c r="F18" s="389"/>
      <c r="G18" s="1753" t="s">
        <v>3428</v>
      </c>
      <c r="H18" s="387"/>
      <c r="I18" s="1753" t="s">
        <v>3428</v>
      </c>
      <c r="J18" s="387"/>
      <c r="K18" s="1749"/>
      <c r="L18" s="2485"/>
      <c r="M18" s="2480"/>
      <c r="N18" s="2480"/>
      <c r="O18" s="2480"/>
      <c r="P18" s="3410"/>
      <c r="Q18" s="1259"/>
      <c r="R18" s="667"/>
      <c r="S18" s="668"/>
      <c r="T18" s="667"/>
      <c r="U18" s="668"/>
      <c r="V18" s="667"/>
      <c r="W18" s="668"/>
      <c r="X18" s="1261"/>
      <c r="Y18" s="3403"/>
      <c r="Z18" s="1260"/>
      <c r="AA18" s="1260">
        <v>1</v>
      </c>
      <c r="AB18" s="1260">
        <v>1</v>
      </c>
      <c r="AC18" s="1260">
        <v>1</v>
      </c>
    </row>
    <row r="19" spans="1:29" ht="256.5">
      <c r="A19" s="367"/>
      <c r="B19" s="390" t="s">
        <v>1258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177" t="s">
        <v>3480</v>
      </c>
      <c r="F19" s="394">
        <f>SUMIF(80:80,E20,81:81)-SUMIF(80:80,C20,81:81)+100</f>
        <v>100</v>
      </c>
      <c r="G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H19" s="389">
        <f>SUMIF(80:80,G20,81:81)-SUMIF(80:80,C20,81:81)+100</f>
        <v>100</v>
      </c>
      <c r="I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J19" s="389">
        <f>SUMIF(80:80,I20,81:81)-SUMIF(80:80,C20,81:81)+100</f>
        <v>100</v>
      </c>
      <c r="K19" s="384"/>
      <c r="L19" s="2485"/>
      <c r="M19" s="2480"/>
      <c r="N19" s="2480"/>
      <c r="O19" s="2480"/>
      <c r="P19" s="3410"/>
      <c r="Q19" s="1259" t="str">
        <f>B19</f>
        <v>公共配套设施</v>
      </c>
      <c r="R19" s="667" t="s">
        <v>18</v>
      </c>
      <c r="S19" s="668">
        <f>F19</f>
        <v>100</v>
      </c>
      <c r="T19" s="667" t="s">
        <v>18</v>
      </c>
      <c r="U19" s="668">
        <f>H19</f>
        <v>100</v>
      </c>
      <c r="V19" s="667" t="s">
        <v>18</v>
      </c>
      <c r="W19" s="668">
        <f>J19</f>
        <v>100</v>
      </c>
      <c r="X19" s="1261"/>
      <c r="Y19" s="3403"/>
      <c r="Z19" s="1260" t="str">
        <f>Q19</f>
        <v>公共配套设施</v>
      </c>
      <c r="AA19" s="1260">
        <f t="shared" si="3"/>
        <v>1</v>
      </c>
      <c r="AB19" s="1260">
        <f t="shared" si="4"/>
        <v>1</v>
      </c>
      <c r="AC19" s="1260">
        <f t="shared" si="5"/>
        <v>1</v>
      </c>
    </row>
    <row r="20" spans="1:29" ht="15">
      <c r="A20" s="367"/>
      <c r="B20" s="395"/>
      <c r="C20" s="386" t="s">
        <v>3426</v>
      </c>
      <c r="D20" s="387"/>
      <c r="E20" s="1747" t="s">
        <v>3426</v>
      </c>
      <c r="F20" s="387"/>
      <c r="G20" s="1748" t="s">
        <v>3426</v>
      </c>
      <c r="H20" s="387"/>
      <c r="I20" s="1748" t="s">
        <v>3426</v>
      </c>
      <c r="J20" s="387"/>
      <c r="K20" s="1749"/>
      <c r="L20" s="2485"/>
      <c r="M20" s="2480"/>
      <c r="N20" s="2480"/>
      <c r="O20" s="2480"/>
      <c r="P20" s="3410"/>
      <c r="Q20" s="1259"/>
      <c r="R20" s="667"/>
      <c r="S20" s="668"/>
      <c r="T20" s="667"/>
      <c r="U20" s="668"/>
      <c r="V20" s="667"/>
      <c r="W20" s="668"/>
      <c r="X20" s="1261"/>
      <c r="Y20" s="3403"/>
      <c r="Z20" s="1260"/>
      <c r="AA20" s="1260">
        <v>1</v>
      </c>
      <c r="AB20" s="1260">
        <v>1</v>
      </c>
      <c r="AC20" s="1260">
        <v>1</v>
      </c>
    </row>
    <row r="21" spans="1:29" ht="28.5">
      <c r="A21" s="367"/>
      <c r="B21" s="586" t="s">
        <v>1260</v>
      </c>
      <c r="C21" s="1750"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10"/>
      <c r="Q21" s="1259" t="str">
        <f>B21</f>
        <v>基础设施水平</v>
      </c>
      <c r="R21" s="667" t="s">
        <v>14</v>
      </c>
      <c r="S21" s="668">
        <f>F21</f>
        <v>100</v>
      </c>
      <c r="T21" s="667" t="s">
        <v>14</v>
      </c>
      <c r="U21" s="668">
        <f>H21</f>
        <v>100</v>
      </c>
      <c r="V21" s="667" t="s">
        <v>14</v>
      </c>
      <c r="W21" s="668">
        <f>J21</f>
        <v>100</v>
      </c>
      <c r="X21" s="1261"/>
      <c r="Y21" s="3403"/>
      <c r="Z21" s="1260" t="str">
        <f>Q21</f>
        <v>基础设施水平</v>
      </c>
      <c r="AA21" s="1260">
        <f t="shared" ref="AA21" si="8">D21/F21</f>
        <v>1</v>
      </c>
      <c r="AB21" s="1260">
        <f t="shared" ref="AB21" si="9">D21/H21</f>
        <v>1</v>
      </c>
      <c r="AC21" s="1260">
        <f t="shared" ref="AC21" si="10">D21/J21</f>
        <v>1</v>
      </c>
    </row>
    <row r="22" spans="1:29" ht="15">
      <c r="A22" s="367"/>
      <c r="B22" s="586"/>
      <c r="C22" s="1751" t="s">
        <v>3477</v>
      </c>
      <c r="D22" s="387"/>
      <c r="E22" s="386" t="s">
        <v>3477</v>
      </c>
      <c r="F22" s="387"/>
      <c r="G22" s="1754" t="s">
        <v>3477</v>
      </c>
      <c r="H22" s="387"/>
      <c r="I22" s="386" t="s">
        <v>3477</v>
      </c>
      <c r="J22" s="387"/>
      <c r="K22" s="1755"/>
      <c r="L22" s="2485"/>
      <c r="M22" s="2480"/>
      <c r="N22" s="2480"/>
      <c r="O22" s="2480"/>
      <c r="P22" s="3410"/>
      <c r="Q22" s="1259"/>
      <c r="R22" s="667"/>
      <c r="S22" s="668"/>
      <c r="T22" s="667"/>
      <c r="U22" s="668"/>
      <c r="V22" s="667"/>
      <c r="W22" s="668"/>
      <c r="X22" s="1261"/>
      <c r="Y22" s="3403"/>
      <c r="Z22" s="1260"/>
      <c r="AA22" s="1260">
        <v>1</v>
      </c>
      <c r="AB22" s="1260">
        <v>1</v>
      </c>
      <c r="AC22" s="1260">
        <v>1</v>
      </c>
    </row>
    <row r="23" spans="1:29" ht="99.75">
      <c r="A23" s="367"/>
      <c r="B23" s="390" t="s">
        <v>1261</v>
      </c>
      <c r="C23" s="1750" t="str">
        <f>估价对象房地状况!C9</f>
        <v>估价对象周边有河南省体育场馆中心、郑州海洋馆等人文景观，东风渠水系等自然景观，综合评价环境状况较好。</v>
      </c>
      <c r="D23" s="389">
        <v>100</v>
      </c>
      <c r="E23" s="3178" t="s">
        <v>3481</v>
      </c>
      <c r="F23" s="389">
        <f>SUMIF(84:84,E24,85:85)-SUMIF(84:84,C24,85:85)+100</f>
        <v>100</v>
      </c>
      <c r="G23" s="391" t="str">
        <f>E23</f>
        <v>周边有河南省体育场馆中心、郑州海洋馆等人文景观，东风渠水系等自然景观，综合评价环境状况较好。</v>
      </c>
      <c r="H23" s="389">
        <f>SUMIF(84:84,G24,85:85)-SUMIF(84:84,C24,85:85)+100</f>
        <v>100</v>
      </c>
      <c r="I23" s="391" t="str">
        <f>E23</f>
        <v>周边有河南省体育场馆中心、郑州海洋馆等人文景观，东风渠水系等自然景观，综合评价环境状况较好。</v>
      </c>
      <c r="J23" s="389">
        <f>SUMIF(84:84,I24,85:85)-SUMIF(84:84,C24,85:85)+100</f>
        <v>100</v>
      </c>
      <c r="K23" s="384"/>
      <c r="L23" s="2485"/>
      <c r="M23" s="2480"/>
      <c r="N23" s="2480"/>
      <c r="O23" s="2480"/>
      <c r="P23" s="3410"/>
      <c r="Q23" s="1259" t="str">
        <f>B23</f>
        <v>自然及人文环境</v>
      </c>
      <c r="R23" s="667" t="s">
        <v>18</v>
      </c>
      <c r="S23" s="668">
        <f>F23</f>
        <v>100</v>
      </c>
      <c r="T23" s="667" t="s">
        <v>18</v>
      </c>
      <c r="U23" s="668">
        <f>H23</f>
        <v>100</v>
      </c>
      <c r="V23" s="667" t="s">
        <v>18</v>
      </c>
      <c r="W23" s="668">
        <f>J23</f>
        <v>100</v>
      </c>
      <c r="X23" s="1261"/>
      <c r="Y23" s="3403"/>
      <c r="Z23" s="1260" t="str">
        <f>Q23</f>
        <v>自然及人文环境</v>
      </c>
      <c r="AA23" s="1260">
        <f>D23/F23</f>
        <v>1</v>
      </c>
      <c r="AB23" s="1260">
        <f>D23/H23</f>
        <v>1</v>
      </c>
      <c r="AC23" s="1260">
        <f>D23/J23</f>
        <v>1</v>
      </c>
    </row>
    <row r="24" spans="1:29" ht="15">
      <c r="A24" s="367"/>
      <c r="B24" s="395"/>
      <c r="C24" s="386" t="s">
        <v>3426</v>
      </c>
      <c r="D24" s="387"/>
      <c r="E24" s="1747" t="s">
        <v>3426</v>
      </c>
      <c r="F24" s="387"/>
      <c r="G24" s="1748" t="s">
        <v>3426</v>
      </c>
      <c r="H24" s="387"/>
      <c r="I24" s="1748" t="s">
        <v>3426</v>
      </c>
      <c r="J24" s="387"/>
      <c r="K24" s="1749"/>
      <c r="L24" s="2485"/>
      <c r="M24" s="2480"/>
      <c r="N24" s="2480"/>
      <c r="O24" s="2480"/>
      <c r="P24" s="3410"/>
      <c r="Q24" s="1259"/>
      <c r="R24" s="667"/>
      <c r="S24" s="668"/>
      <c r="T24" s="667"/>
      <c r="U24" s="668"/>
      <c r="V24" s="667"/>
      <c r="W24" s="668"/>
      <c r="X24" s="1261"/>
      <c r="Y24" s="3403"/>
      <c r="Z24" s="1260"/>
      <c r="AA24" s="1260">
        <v>1</v>
      </c>
      <c r="AB24" s="1260">
        <v>1</v>
      </c>
      <c r="AC24" s="1260">
        <v>1</v>
      </c>
    </row>
    <row r="25" spans="1:29" ht="15">
      <c r="A25" s="367"/>
      <c r="B25" s="364" t="s">
        <v>1692</v>
      </c>
      <c r="C25" s="399" t="s">
        <v>3484</v>
      </c>
      <c r="D25" s="374">
        <v>100</v>
      </c>
      <c r="E25" s="1756" t="s">
        <v>3486</v>
      </c>
      <c r="F25" s="374">
        <f>SUMIF(86:86,E25,87:87)-SUMIF(86:86,C25,87:87)+100</f>
        <v>101</v>
      </c>
      <c r="G25" s="1757" t="s">
        <v>3486</v>
      </c>
      <c r="H25" s="374">
        <f>SUMIF(86:86,G25,87:87)-SUMIF(86:86,C25,87:87)+100</f>
        <v>101</v>
      </c>
      <c r="I25" s="1757" t="s">
        <v>3486</v>
      </c>
      <c r="J25" s="374">
        <f>SUMIF(86:86,I25,87:87)-SUMIF(86:86,C25,87:87)+100</f>
        <v>101</v>
      </c>
      <c r="K25" s="365">
        <v>1</v>
      </c>
      <c r="L25" s="2485"/>
      <c r="M25" s="2480"/>
      <c r="N25" s="2480"/>
      <c r="O25" s="2480"/>
      <c r="P25" s="3410"/>
      <c r="Q25" s="1259" t="str">
        <f t="shared" ref="Q25:Q46" si="11">B25</f>
        <v>楼层-1</v>
      </c>
      <c r="R25" s="667" t="s">
        <v>18</v>
      </c>
      <c r="S25" s="668">
        <f t="shared" ref="S25:S46" si="12">F25</f>
        <v>101</v>
      </c>
      <c r="T25" s="667" t="s">
        <v>18</v>
      </c>
      <c r="U25" s="668">
        <f t="shared" ref="U25:U46" si="13">H25</f>
        <v>101</v>
      </c>
      <c r="V25" s="667" t="s">
        <v>18</v>
      </c>
      <c r="W25" s="668">
        <f t="shared" ref="W25:W46" si="14">J25</f>
        <v>101</v>
      </c>
      <c r="X25" s="1261"/>
      <c r="Y25" s="3403"/>
      <c r="Z25" s="1260" t="str">
        <f>Q25</f>
        <v>楼层-1</v>
      </c>
      <c r="AA25" s="1260">
        <f t="shared" ref="AA25:AA46" si="15">D25/F25</f>
        <v>0.99009900990099009</v>
      </c>
      <c r="AB25" s="1260">
        <f t="shared" ref="AB25:AB46" si="16">D25/H25</f>
        <v>0.99009900990099009</v>
      </c>
      <c r="AC25" s="1260">
        <f t="shared" ref="AC25:AC46" si="17">D25/J25</f>
        <v>0.99009900990099009</v>
      </c>
    </row>
    <row r="26" spans="1:29" ht="15">
      <c r="A26" s="367"/>
      <c r="B26" s="364" t="s">
        <v>1693</v>
      </c>
      <c r="C26" s="399" t="s">
        <v>3482</v>
      </c>
      <c r="D26" s="374">
        <v>100</v>
      </c>
      <c r="E26" s="1756" t="s">
        <v>3482</v>
      </c>
      <c r="F26" s="374">
        <f>SUMIF(88:88,E26,89:89)-SUMIF(88:88,C26,89:89)+100</f>
        <v>100</v>
      </c>
      <c r="G26" s="1757" t="s">
        <v>3482</v>
      </c>
      <c r="H26" s="374">
        <f>SUMIF(88:88,G26,89:89)-SUMIF(88:88,C26,89:89)+100</f>
        <v>100</v>
      </c>
      <c r="I26" s="1757" t="s">
        <v>3482</v>
      </c>
      <c r="J26" s="374">
        <f>SUMIF(88:88,I26,89:89)-SUMIF(88:88,C26,89:89)+100</f>
        <v>100</v>
      </c>
      <c r="K26" s="365"/>
      <c r="L26" s="2485"/>
      <c r="M26" s="2480"/>
      <c r="N26" s="2480"/>
      <c r="O26" s="2480"/>
      <c r="P26" s="3410"/>
      <c r="Q26" s="1259" t="str">
        <f t="shared" si="11"/>
        <v>朝向</v>
      </c>
      <c r="R26" s="667" t="s">
        <v>18</v>
      </c>
      <c r="S26" s="668">
        <f t="shared" si="12"/>
        <v>100</v>
      </c>
      <c r="T26" s="667" t="s">
        <v>18</v>
      </c>
      <c r="U26" s="668">
        <f t="shared" si="13"/>
        <v>100</v>
      </c>
      <c r="V26" s="667" t="s">
        <v>18</v>
      </c>
      <c r="W26" s="668">
        <f t="shared" si="14"/>
        <v>100</v>
      </c>
      <c r="X26" s="1261"/>
      <c r="Y26" s="3403"/>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1"/>
      <c r="M27" s="2432"/>
      <c r="N27" s="2432"/>
      <c r="O27" s="2432"/>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5"/>
      <c r="M28" s="2480"/>
      <c r="N28" s="2480"/>
      <c r="O28" s="2480"/>
      <c r="P28" s="3410"/>
      <c r="Q28" s="1259">
        <f t="shared" si="11"/>
        <v>111</v>
      </c>
      <c r="R28" s="667" t="s">
        <v>18</v>
      </c>
      <c r="S28" s="668">
        <f t="shared" si="12"/>
        <v>100</v>
      </c>
      <c r="T28" s="667" t="s">
        <v>18</v>
      </c>
      <c r="U28" s="668">
        <f t="shared" si="13"/>
        <v>100</v>
      </c>
      <c r="V28" s="667" t="s">
        <v>18</v>
      </c>
      <c r="W28" s="668">
        <f t="shared" si="14"/>
        <v>100</v>
      </c>
      <c r="X28" s="1261"/>
      <c r="Y28" s="3403"/>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5"/>
      <c r="M29" s="2480"/>
      <c r="N29" s="2480"/>
      <c r="O29" s="2480"/>
      <c r="P29" s="3410"/>
      <c r="Q29" s="1259">
        <f t="shared" si="11"/>
        <v>111</v>
      </c>
      <c r="R29" s="667" t="s">
        <v>18</v>
      </c>
      <c r="S29" s="668">
        <f t="shared" si="12"/>
        <v>100</v>
      </c>
      <c r="T29" s="667" t="s">
        <v>18</v>
      </c>
      <c r="U29" s="668">
        <f t="shared" si="13"/>
        <v>100</v>
      </c>
      <c r="V29" s="667" t="s">
        <v>18</v>
      </c>
      <c r="W29" s="668">
        <f t="shared" si="14"/>
        <v>100</v>
      </c>
      <c r="X29" s="1261"/>
      <c r="Y29" s="3403"/>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5"/>
      <c r="M30" s="2480"/>
      <c r="N30" s="2480"/>
      <c r="O30" s="2480"/>
      <c r="P30" s="3410"/>
      <c r="Q30" s="1259">
        <f t="shared" si="11"/>
        <v>111</v>
      </c>
      <c r="R30" s="667" t="s">
        <v>18</v>
      </c>
      <c r="S30" s="668">
        <f t="shared" si="12"/>
        <v>100</v>
      </c>
      <c r="T30" s="667" t="s">
        <v>18</v>
      </c>
      <c r="U30" s="668">
        <f t="shared" si="13"/>
        <v>100</v>
      </c>
      <c r="V30" s="667" t="s">
        <v>18</v>
      </c>
      <c r="W30" s="668">
        <f t="shared" si="14"/>
        <v>100</v>
      </c>
      <c r="X30" s="1261"/>
      <c r="Y30" s="3403"/>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5"/>
      <c r="M31" s="2480"/>
      <c r="N31" s="2480"/>
      <c r="O31" s="2480"/>
      <c r="P31" s="3410"/>
      <c r="Q31" s="1259">
        <f t="shared" si="11"/>
        <v>111</v>
      </c>
      <c r="R31" s="667" t="s">
        <v>18</v>
      </c>
      <c r="S31" s="668">
        <f t="shared" si="12"/>
        <v>100</v>
      </c>
      <c r="T31" s="667" t="s">
        <v>18</v>
      </c>
      <c r="U31" s="668">
        <f t="shared" si="13"/>
        <v>100</v>
      </c>
      <c r="V31" s="667" t="s">
        <v>18</v>
      </c>
      <c r="W31" s="668">
        <f t="shared" si="14"/>
        <v>100</v>
      </c>
      <c r="X31" s="1261"/>
      <c r="Y31" s="3403"/>
      <c r="Z31" s="1260">
        <f t="shared" si="18"/>
        <v>111</v>
      </c>
      <c r="AA31" s="1260">
        <f t="shared" si="15"/>
        <v>1</v>
      </c>
      <c r="AB31" s="1260">
        <f t="shared" si="16"/>
        <v>1</v>
      </c>
      <c r="AC31" s="1260">
        <f t="shared" si="17"/>
        <v>1</v>
      </c>
    </row>
    <row r="32" spans="1:29" ht="15">
      <c r="A32" s="379" t="s">
        <v>1694</v>
      </c>
      <c r="B32" s="60" t="s">
        <v>1695</v>
      </c>
      <c r="C32" s="1760" t="s">
        <v>3497</v>
      </c>
      <c r="D32" s="405">
        <v>100</v>
      </c>
      <c r="E32" s="1760" t="s">
        <v>3497</v>
      </c>
      <c r="F32" s="400">
        <f>SUMIF(100:100,E32,101:101)-SUMIF(100:100,C32,101:101)+100</f>
        <v>100</v>
      </c>
      <c r="G32" s="1760" t="s">
        <v>3497</v>
      </c>
      <c r="H32" s="405">
        <f>SUMIF(100:100,G32,101:101)-SUMIF(100:100,C32,101:101)+100</f>
        <v>100</v>
      </c>
      <c r="I32" s="1760" t="s">
        <v>3497</v>
      </c>
      <c r="J32" s="374">
        <f>SUMIF(100:100,I32,101:101)-SUMIF(100:100,C32,101:101)+100</f>
        <v>100</v>
      </c>
      <c r="K32" s="365"/>
      <c r="L32" s="2485"/>
      <c r="M32" s="2480"/>
      <c r="N32" s="2480"/>
      <c r="O32" s="2480"/>
      <c r="P32" s="3404" t="s">
        <v>1696</v>
      </c>
      <c r="Q32" s="1259" t="str">
        <f t="shared" si="11"/>
        <v>建筑类型</v>
      </c>
      <c r="R32" s="667" t="s">
        <v>18</v>
      </c>
      <c r="S32" s="668">
        <f t="shared" si="12"/>
        <v>100</v>
      </c>
      <c r="T32" s="667" t="s">
        <v>18</v>
      </c>
      <c r="U32" s="668">
        <f t="shared" si="13"/>
        <v>100</v>
      </c>
      <c r="V32" s="667" t="s">
        <v>18</v>
      </c>
      <c r="W32" s="668">
        <f t="shared" si="14"/>
        <v>100</v>
      </c>
      <c r="X32" s="1261"/>
      <c r="Y32" s="3407" t="s">
        <v>1696</v>
      </c>
      <c r="Z32" s="1260" t="str">
        <f t="shared" si="18"/>
        <v>建筑类型</v>
      </c>
      <c r="AA32" s="1260">
        <f t="shared" si="15"/>
        <v>1</v>
      </c>
      <c r="AB32" s="1260">
        <f t="shared" si="16"/>
        <v>1</v>
      </c>
      <c r="AC32" s="1260">
        <f t="shared" si="17"/>
        <v>1</v>
      </c>
    </row>
    <row r="33" spans="1:29" s="408" customFormat="1" ht="15">
      <c r="A33" s="406"/>
      <c r="B33" s="364" t="s">
        <v>1697</v>
      </c>
      <c r="C33" s="407">
        <f>'数据-基础表'!I13</f>
        <v>154.79</v>
      </c>
      <c r="D33" s="119">
        <v>100</v>
      </c>
      <c r="E33" s="407">
        <f>案例!B57</f>
        <v>131</v>
      </c>
      <c r="F33" s="364">
        <f>LOOKUP(E33,103:103,104:104)-LOOKUP(C33,103:103,104:104)+100</f>
        <v>101</v>
      </c>
      <c r="G33" s="407">
        <f>案例!B58</f>
        <v>110</v>
      </c>
      <c r="H33" s="119">
        <f>LOOKUP(G33,103:103,104:104)-LOOKUP(C33,103:103,104:104)+100</f>
        <v>102</v>
      </c>
      <c r="I33" s="407">
        <f>案例!B59</f>
        <v>158.76</v>
      </c>
      <c r="J33" s="119">
        <f>LOOKUP(I33,103:103,104:104)-LOOKUP(C33,103:103,104:104)+100</f>
        <v>100</v>
      </c>
      <c r="K33" s="1744">
        <v>1</v>
      </c>
      <c r="L33" s="2484"/>
      <c r="M33" s="2486"/>
      <c r="N33" s="2486"/>
      <c r="O33" s="2486"/>
      <c r="P33" s="3405"/>
      <c r="Q33" s="531" t="str">
        <f t="shared" si="11"/>
        <v>项目建筑规模</v>
      </c>
      <c r="R33" s="669" t="s">
        <v>18</v>
      </c>
      <c r="S33" s="670">
        <f t="shared" si="12"/>
        <v>101</v>
      </c>
      <c r="T33" s="669" t="s">
        <v>18</v>
      </c>
      <c r="U33" s="670">
        <f t="shared" si="13"/>
        <v>102</v>
      </c>
      <c r="V33" s="669" t="s">
        <v>18</v>
      </c>
      <c r="W33" s="670">
        <f t="shared" si="14"/>
        <v>100</v>
      </c>
      <c r="X33" s="671"/>
      <c r="Y33" s="3407"/>
      <c r="Z33" s="672" t="str">
        <f t="shared" si="18"/>
        <v>项目建筑规模</v>
      </c>
      <c r="AA33" s="1260">
        <f t="shared" si="15"/>
        <v>0.99009900990099009</v>
      </c>
      <c r="AB33" s="1260">
        <f t="shared" si="16"/>
        <v>0.98039215686274506</v>
      </c>
      <c r="AC33" s="1260">
        <f t="shared" si="17"/>
        <v>1</v>
      </c>
    </row>
    <row r="34" spans="1:29" ht="15">
      <c r="A34" s="409"/>
      <c r="B34" s="364" t="s">
        <v>1698</v>
      </c>
      <c r="C34" s="399" t="s">
        <v>3499</v>
      </c>
      <c r="D34" s="374">
        <v>100</v>
      </c>
      <c r="E34" s="399" t="s">
        <v>3499</v>
      </c>
      <c r="F34" s="400">
        <f>SUMIF(105:105,E34,106:106)-SUMIF(105:105,C34,106:106)+100</f>
        <v>100</v>
      </c>
      <c r="G34" s="399" t="s">
        <v>3499</v>
      </c>
      <c r="H34" s="374">
        <f>SUMIF(105:105,G34,106:106)-SUMIF(105:105,C34,106:106)+100</f>
        <v>100</v>
      </c>
      <c r="I34" s="399" t="s">
        <v>3499</v>
      </c>
      <c r="J34" s="374">
        <f>SUMIF(105:105,I34,106:106)-SUMIF(105:105,C34,106:106)+100</f>
        <v>100</v>
      </c>
      <c r="K34" s="365"/>
      <c r="L34" s="2485"/>
      <c r="M34" s="2480"/>
      <c r="N34" s="2480"/>
      <c r="O34" s="2480"/>
      <c r="P34" s="3405"/>
      <c r="Q34" s="1259" t="str">
        <f t="shared" si="11"/>
        <v>建筑结构</v>
      </c>
      <c r="R34" s="667" t="s">
        <v>18</v>
      </c>
      <c r="S34" s="668">
        <f t="shared" si="12"/>
        <v>100</v>
      </c>
      <c r="T34" s="667" t="s">
        <v>18</v>
      </c>
      <c r="U34" s="668">
        <f t="shared" si="13"/>
        <v>100</v>
      </c>
      <c r="V34" s="667" t="s">
        <v>18</v>
      </c>
      <c r="W34" s="668">
        <f t="shared" si="14"/>
        <v>100</v>
      </c>
      <c r="X34" s="1261"/>
      <c r="Y34" s="3407"/>
      <c r="Z34" s="1260" t="str">
        <f t="shared" si="18"/>
        <v>建筑结构</v>
      </c>
      <c r="AA34" s="1260">
        <f t="shared" si="15"/>
        <v>1</v>
      </c>
      <c r="AB34" s="1260">
        <f t="shared" si="16"/>
        <v>1</v>
      </c>
      <c r="AC34" s="1260">
        <f t="shared" si="17"/>
        <v>1</v>
      </c>
    </row>
    <row r="35" spans="1:29" ht="15" hidden="1">
      <c r="A35" s="409"/>
      <c r="B35" s="364" t="s">
        <v>1699</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365"/>
      <c r="L35" s="2485"/>
      <c r="M35" s="2480"/>
      <c r="N35" s="2480"/>
      <c r="O35" s="2480"/>
      <c r="P35" s="3405"/>
      <c r="Q35" s="1259" t="str">
        <f t="shared" si="11"/>
        <v>建筑品质</v>
      </c>
      <c r="R35" s="667" t="s">
        <v>18</v>
      </c>
      <c r="S35" s="668">
        <f t="shared" si="12"/>
        <v>100</v>
      </c>
      <c r="T35" s="667" t="s">
        <v>18</v>
      </c>
      <c r="U35" s="668">
        <f t="shared" si="13"/>
        <v>100</v>
      </c>
      <c r="V35" s="667" t="s">
        <v>18</v>
      </c>
      <c r="W35" s="668">
        <f t="shared" si="14"/>
        <v>100</v>
      </c>
      <c r="X35" s="1261"/>
      <c r="Y35" s="3407"/>
      <c r="Z35" s="1260" t="str">
        <f t="shared" si="18"/>
        <v>建筑品质</v>
      </c>
      <c r="AA35" s="1260">
        <f t="shared" si="15"/>
        <v>1</v>
      </c>
      <c r="AB35" s="1260">
        <f t="shared" si="16"/>
        <v>1</v>
      </c>
      <c r="AC35" s="1260">
        <f t="shared" si="17"/>
        <v>1</v>
      </c>
    </row>
    <row r="36" spans="1:29" ht="15">
      <c r="A36" s="409"/>
      <c r="B36" s="364" t="s">
        <v>1700</v>
      </c>
      <c r="C36" s="1756" t="s">
        <v>3501</v>
      </c>
      <c r="D36" s="374">
        <v>100</v>
      </c>
      <c r="E36" s="1756" t="s">
        <v>3501</v>
      </c>
      <c r="F36" s="400">
        <f>SUMIF(109:109,E36,110:110)-SUMIF(109:109,C36,110:110)+100</f>
        <v>100</v>
      </c>
      <c r="G36" s="1756" t="s">
        <v>3501</v>
      </c>
      <c r="H36" s="374">
        <f>SUMIF(109:109,G36,110:110)-SUMIF(109:109,C36,110:110)+100</f>
        <v>100</v>
      </c>
      <c r="I36" s="1756" t="s">
        <v>3501</v>
      </c>
      <c r="J36" s="374">
        <f>SUMIF(109:109,I36,110:110)-SUMIF(109:109,C36,110:110)+100</f>
        <v>100</v>
      </c>
      <c r="K36" s="365"/>
      <c r="L36" s="2485"/>
      <c r="M36" s="2480"/>
      <c r="N36" s="2480"/>
      <c r="O36" s="2480"/>
      <c r="P36" s="3405"/>
      <c r="Q36" s="1259" t="str">
        <f t="shared" si="11"/>
        <v>公共部分装修</v>
      </c>
      <c r="R36" s="667" t="s">
        <v>18</v>
      </c>
      <c r="S36" s="668">
        <f t="shared" si="12"/>
        <v>100</v>
      </c>
      <c r="T36" s="667" t="s">
        <v>18</v>
      </c>
      <c r="U36" s="668">
        <f t="shared" si="13"/>
        <v>100</v>
      </c>
      <c r="V36" s="667" t="s">
        <v>18</v>
      </c>
      <c r="W36" s="668">
        <f t="shared" si="14"/>
        <v>100</v>
      </c>
      <c r="X36" s="1261"/>
      <c r="Y36" s="3407"/>
      <c r="Z36" s="1260" t="str">
        <f t="shared" si="18"/>
        <v>公共部分装修</v>
      </c>
      <c r="AA36" s="1260">
        <f t="shared" si="15"/>
        <v>1</v>
      </c>
      <c r="AB36" s="1260">
        <f t="shared" si="16"/>
        <v>1</v>
      </c>
      <c r="AC36" s="1260">
        <f t="shared" si="17"/>
        <v>1</v>
      </c>
    </row>
    <row r="37" spans="1:29" s="102" customFormat="1" ht="15">
      <c r="A37" s="410"/>
      <c r="B37" s="364" t="s">
        <v>1701</v>
      </c>
      <c r="C37" s="411">
        <v>0.75</v>
      </c>
      <c r="D37" s="119">
        <v>100</v>
      </c>
      <c r="E37" s="411">
        <v>0.75</v>
      </c>
      <c r="F37" s="364">
        <f>LOOKUP(E37,112:112,113:113)-LOOKUP(C37,112:112,113:113)+100</f>
        <v>100</v>
      </c>
      <c r="G37" s="411">
        <v>0.75</v>
      </c>
      <c r="H37" s="119">
        <f>LOOKUP(G37,112:112,113:113)-LOOKUP(C37,112:112,113:113)+100</f>
        <v>100</v>
      </c>
      <c r="I37" s="411">
        <v>0.75</v>
      </c>
      <c r="J37" s="119">
        <f>LOOKUP(I37,112:112,113:113)-LOOKUP(C37,112:112,113:113)+100</f>
        <v>100</v>
      </c>
      <c r="K37" s="365"/>
      <c r="L37" s="2481"/>
      <c r="M37" s="2432"/>
      <c r="N37" s="2432"/>
      <c r="O37" s="2432"/>
      <c r="P37" s="3405"/>
      <c r="Q37" s="530" t="str">
        <f t="shared" si="11"/>
        <v>成新度</v>
      </c>
      <c r="R37" s="664" t="s">
        <v>18</v>
      </c>
      <c r="S37" s="665">
        <f t="shared" si="12"/>
        <v>100</v>
      </c>
      <c r="T37" s="664" t="s">
        <v>18</v>
      </c>
      <c r="U37" s="665">
        <f t="shared" si="13"/>
        <v>100</v>
      </c>
      <c r="V37" s="664" t="s">
        <v>18</v>
      </c>
      <c r="W37" s="665">
        <f t="shared" si="14"/>
        <v>100</v>
      </c>
      <c r="X37" s="666"/>
      <c r="Y37" s="3407"/>
      <c r="Z37" s="50" t="str">
        <f t="shared" si="18"/>
        <v>成新度</v>
      </c>
      <c r="AA37" s="50">
        <f t="shared" si="15"/>
        <v>1</v>
      </c>
      <c r="AB37" s="50">
        <f t="shared" si="16"/>
        <v>1</v>
      </c>
      <c r="AC37" s="50">
        <f t="shared" si="17"/>
        <v>1</v>
      </c>
    </row>
    <row r="38" spans="1:29" ht="15">
      <c r="A38" s="409"/>
      <c r="B38" s="364" t="s">
        <v>1702</v>
      </c>
      <c r="C38" s="1756" t="s">
        <v>3503</v>
      </c>
      <c r="D38" s="374">
        <v>100</v>
      </c>
      <c r="E38" s="1756" t="s">
        <v>3503</v>
      </c>
      <c r="F38" s="400">
        <f>SUMIF(114:114,E38,115:115)-SUMIF(114:114,C38,115:115)+100</f>
        <v>100</v>
      </c>
      <c r="G38" s="1756" t="s">
        <v>3503</v>
      </c>
      <c r="H38" s="374">
        <f>SUMIF(114:114,G38,115:115)-SUMIF(114:114,C38,115:115)+100</f>
        <v>100</v>
      </c>
      <c r="I38" s="1756" t="s">
        <v>3503</v>
      </c>
      <c r="J38" s="374">
        <f>SUMIF(114:114,I38,115:115)-SUMIF(114:114,C38,115:115)+100</f>
        <v>100</v>
      </c>
      <c r="K38" s="365"/>
      <c r="L38" s="2485"/>
      <c r="M38" s="2480"/>
      <c r="N38" s="2480"/>
      <c r="O38" s="2480"/>
      <c r="P38" s="3405" t="s">
        <v>1696</v>
      </c>
      <c r="Q38" s="1259" t="str">
        <f t="shared" si="11"/>
        <v>物业管理</v>
      </c>
      <c r="R38" s="667" t="s">
        <v>18</v>
      </c>
      <c r="S38" s="668">
        <f t="shared" si="12"/>
        <v>100</v>
      </c>
      <c r="T38" s="667" t="s">
        <v>18</v>
      </c>
      <c r="U38" s="668">
        <f t="shared" si="13"/>
        <v>100</v>
      </c>
      <c r="V38" s="667" t="s">
        <v>18</v>
      </c>
      <c r="W38" s="668">
        <f t="shared" si="14"/>
        <v>100</v>
      </c>
      <c r="X38" s="1261"/>
      <c r="Y38" s="3407" t="s">
        <v>1696</v>
      </c>
      <c r="Z38" s="1260" t="str">
        <f t="shared" si="18"/>
        <v>物业管理</v>
      </c>
      <c r="AA38" s="1260">
        <f t="shared" si="15"/>
        <v>1</v>
      </c>
      <c r="AB38" s="1260">
        <f t="shared" si="16"/>
        <v>1</v>
      </c>
      <c r="AC38" s="1260">
        <f t="shared" si="17"/>
        <v>1</v>
      </c>
    </row>
    <row r="39" spans="1:29" ht="15">
      <c r="A39" s="409"/>
      <c r="B39" s="364" t="s">
        <v>1703</v>
      </c>
      <c r="C39" s="1756" t="s">
        <v>3477</v>
      </c>
      <c r="D39" s="374">
        <v>100</v>
      </c>
      <c r="E39" s="1756" t="s">
        <v>3477</v>
      </c>
      <c r="F39" s="400">
        <f>SUMIF(116:116,E39,117:117)-SUMIF(116:116,C39,117:117)+100</f>
        <v>100</v>
      </c>
      <c r="G39" s="1756" t="s">
        <v>3477</v>
      </c>
      <c r="H39" s="374">
        <f>SUMIF(116:116,G39,117:117)-SUMIF(116:116,C39,117:117)+100</f>
        <v>100</v>
      </c>
      <c r="I39" s="1756" t="s">
        <v>3477</v>
      </c>
      <c r="J39" s="374">
        <f>SUMIF(116:116,I39,117:117)-SUMIF(116:116,C39,117:117)+100</f>
        <v>100</v>
      </c>
      <c r="K39" s="365"/>
      <c r="L39" s="2485"/>
      <c r="M39" s="2480"/>
      <c r="N39" s="2480"/>
      <c r="O39" s="2480"/>
      <c r="P39" s="3405"/>
      <c r="Q39" s="1259" t="str">
        <f t="shared" si="11"/>
        <v>市政基础设施</v>
      </c>
      <c r="R39" s="667" t="s">
        <v>18</v>
      </c>
      <c r="S39" s="668">
        <f t="shared" si="12"/>
        <v>100</v>
      </c>
      <c r="T39" s="667" t="s">
        <v>18</v>
      </c>
      <c r="U39" s="668">
        <f t="shared" si="13"/>
        <v>100</v>
      </c>
      <c r="V39" s="667" t="s">
        <v>18</v>
      </c>
      <c r="W39" s="668">
        <f t="shared" si="14"/>
        <v>100</v>
      </c>
      <c r="X39" s="1261"/>
      <c r="Y39" s="3407"/>
      <c r="Z39" s="1260" t="str">
        <f t="shared" si="18"/>
        <v>市政基础设施</v>
      </c>
      <c r="AA39" s="1260">
        <f t="shared" si="15"/>
        <v>1</v>
      </c>
      <c r="AB39" s="1260">
        <f t="shared" si="16"/>
        <v>1</v>
      </c>
      <c r="AC39" s="1260">
        <f t="shared" si="17"/>
        <v>1</v>
      </c>
    </row>
    <row r="40" spans="1:29" ht="15">
      <c r="A40" s="409"/>
      <c r="B40" s="364" t="s">
        <v>1704</v>
      </c>
      <c r="C40" s="1756" t="s">
        <v>3506</v>
      </c>
      <c r="D40" s="374">
        <v>100</v>
      </c>
      <c r="E40" s="1756" t="s">
        <v>3506</v>
      </c>
      <c r="F40" s="400">
        <f>SUMIF(118:118,E40,119:119)-SUMIF(118:118,C40,119:119)+100</f>
        <v>100</v>
      </c>
      <c r="G40" s="1756" t="s">
        <v>3506</v>
      </c>
      <c r="H40" s="374">
        <f>SUMIF(118:118,G40,119:119)-SUMIF(118:118,C40,119:119)+100</f>
        <v>100</v>
      </c>
      <c r="I40" s="1756" t="s">
        <v>3506</v>
      </c>
      <c r="J40" s="374">
        <f>SUMIF(118:118,I40,119:119)-SUMIF(118:118,C40,119:119)+100</f>
        <v>100</v>
      </c>
      <c r="K40" s="365"/>
      <c r="L40" s="2485"/>
      <c r="M40" s="2480"/>
      <c r="N40" s="2480"/>
      <c r="O40" s="2480"/>
      <c r="P40" s="3405"/>
      <c r="Q40" s="1259" t="str">
        <f t="shared" si="11"/>
        <v>房型</v>
      </c>
      <c r="R40" s="667" t="s">
        <v>18</v>
      </c>
      <c r="S40" s="668">
        <f t="shared" si="12"/>
        <v>100</v>
      </c>
      <c r="T40" s="667" t="s">
        <v>18</v>
      </c>
      <c r="U40" s="668">
        <f t="shared" si="13"/>
        <v>100</v>
      </c>
      <c r="V40" s="667" t="s">
        <v>18</v>
      </c>
      <c r="W40" s="668">
        <f t="shared" si="14"/>
        <v>100</v>
      </c>
      <c r="X40" s="1261"/>
      <c r="Y40" s="3407"/>
      <c r="Z40" s="1260" t="str">
        <f t="shared" si="18"/>
        <v>房型</v>
      </c>
      <c r="AA40" s="1260">
        <f t="shared" si="15"/>
        <v>1</v>
      </c>
      <c r="AB40" s="1260">
        <f t="shared" si="16"/>
        <v>1</v>
      </c>
      <c r="AC40" s="1260">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4"/>
      <c r="M41" s="2486"/>
      <c r="N41" s="2486"/>
      <c r="O41" s="2486"/>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0">
        <f t="shared" si="15"/>
        <v>1</v>
      </c>
      <c r="AB41" s="1260">
        <f t="shared" si="16"/>
        <v>1</v>
      </c>
      <c r="AC41" s="1260">
        <f t="shared" si="17"/>
        <v>1</v>
      </c>
    </row>
    <row r="42" spans="1:29" ht="15">
      <c r="A42" s="409"/>
      <c r="B42" s="364" t="s">
        <v>1706</v>
      </c>
      <c r="C42" s="1756" t="s">
        <v>3501</v>
      </c>
      <c r="D42" s="374">
        <v>100</v>
      </c>
      <c r="E42" s="1756" t="s">
        <v>3501</v>
      </c>
      <c r="F42" s="400">
        <f>SUMIF(122:122,E42,123:123)-SUMIF(122:122,C42,123:123)+100</f>
        <v>100</v>
      </c>
      <c r="G42" s="1756" t="s">
        <v>3501</v>
      </c>
      <c r="H42" s="374">
        <f>SUMIF(122:122,G42,123:123)-SUMIF(122:122,C42,123:123)+100</f>
        <v>100</v>
      </c>
      <c r="I42" s="1756" t="s">
        <v>3501</v>
      </c>
      <c r="J42" s="374">
        <f>SUMIF(122:122,I42,123:123)-SUMIF(122:122,C42,123:123)+100</f>
        <v>100</v>
      </c>
      <c r="K42" s="365"/>
      <c r="L42" s="2485"/>
      <c r="M42" s="2480"/>
      <c r="N42" s="2480"/>
      <c r="O42" s="2480"/>
      <c r="P42" s="3405"/>
      <c r="Q42" s="1259" t="str">
        <f t="shared" si="11"/>
        <v>内部装修</v>
      </c>
      <c r="R42" s="667" t="s">
        <v>18</v>
      </c>
      <c r="S42" s="668">
        <f t="shared" si="12"/>
        <v>100</v>
      </c>
      <c r="T42" s="667" t="s">
        <v>18</v>
      </c>
      <c r="U42" s="668">
        <f t="shared" si="13"/>
        <v>100</v>
      </c>
      <c r="V42" s="667" t="s">
        <v>18</v>
      </c>
      <c r="W42" s="668">
        <f t="shared" si="14"/>
        <v>100</v>
      </c>
      <c r="X42" s="1261"/>
      <c r="Y42" s="3407"/>
      <c r="Z42" s="1260" t="str">
        <f t="shared" si="18"/>
        <v>内部装修</v>
      </c>
      <c r="AA42" s="1260">
        <f t="shared" si="15"/>
        <v>1</v>
      </c>
      <c r="AB42" s="1260">
        <f t="shared" si="16"/>
        <v>1</v>
      </c>
      <c r="AC42" s="1260">
        <f t="shared" si="17"/>
        <v>1</v>
      </c>
    </row>
    <row r="43" spans="1:29" ht="15">
      <c r="A43" s="409"/>
      <c r="B43" s="364" t="s">
        <v>1707</v>
      </c>
      <c r="C43" s="1756" t="s">
        <v>3426</v>
      </c>
      <c r="D43" s="374">
        <v>100</v>
      </c>
      <c r="E43" s="1756" t="s">
        <v>3426</v>
      </c>
      <c r="F43" s="400">
        <f>SUMIF(124:124,E43,125:125)-SUMIF(124:124,C43,125:125)+100</f>
        <v>100</v>
      </c>
      <c r="G43" s="1756" t="s">
        <v>3426</v>
      </c>
      <c r="H43" s="374">
        <f>SUMIF(124:124,G43,125:125)-SUMIF(124:124,C43,125:125)+100</f>
        <v>100</v>
      </c>
      <c r="I43" s="1756" t="s">
        <v>3426</v>
      </c>
      <c r="J43" s="374">
        <f>SUMIF(124:124,I43,125:125)-SUMIF(124:124,C43,125:125)+100</f>
        <v>100</v>
      </c>
      <c r="K43" s="365"/>
      <c r="L43" s="2485"/>
      <c r="M43" s="2480"/>
      <c r="N43" s="2480"/>
      <c r="O43" s="2480"/>
      <c r="P43" s="3405"/>
      <c r="Q43" s="1259" t="str">
        <f t="shared" si="11"/>
        <v>内部装修维护情况</v>
      </c>
      <c r="R43" s="667" t="s">
        <v>18</v>
      </c>
      <c r="S43" s="668">
        <f t="shared" si="12"/>
        <v>100</v>
      </c>
      <c r="T43" s="667" t="s">
        <v>18</v>
      </c>
      <c r="U43" s="668">
        <f t="shared" si="13"/>
        <v>100</v>
      </c>
      <c r="V43" s="667" t="s">
        <v>18</v>
      </c>
      <c r="W43" s="668">
        <f t="shared" si="14"/>
        <v>100</v>
      </c>
      <c r="X43" s="1261"/>
      <c r="Y43" s="3407"/>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1"/>
      <c r="M44" s="2432"/>
      <c r="N44" s="2432"/>
      <c r="O44" s="2432"/>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5"/>
      <c r="M45" s="2480"/>
      <c r="N45" s="2480"/>
      <c r="O45" s="2480"/>
      <c r="P45" s="3405"/>
      <c r="Q45" s="1259">
        <f t="shared" si="11"/>
        <v>111</v>
      </c>
      <c r="R45" s="667" t="s">
        <v>18</v>
      </c>
      <c r="S45" s="668">
        <f t="shared" si="12"/>
        <v>100</v>
      </c>
      <c r="T45" s="667" t="s">
        <v>18</v>
      </c>
      <c r="U45" s="668">
        <f t="shared" si="13"/>
        <v>100</v>
      </c>
      <c r="V45" s="667" t="s">
        <v>18</v>
      </c>
      <c r="W45" s="668">
        <f t="shared" si="14"/>
        <v>100</v>
      </c>
      <c r="X45" s="1261"/>
      <c r="Y45" s="3407"/>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5"/>
      <c r="M46" s="2480"/>
      <c r="N46" s="2480"/>
      <c r="O46" s="2480"/>
      <c r="P46" s="3406"/>
      <c r="Q46" s="1259">
        <f t="shared" si="11"/>
        <v>111</v>
      </c>
      <c r="R46" s="667" t="s">
        <v>17</v>
      </c>
      <c r="S46" s="668">
        <f t="shared" si="12"/>
        <v>100</v>
      </c>
      <c r="T46" s="667" t="s">
        <v>17</v>
      </c>
      <c r="U46" s="668">
        <f t="shared" si="13"/>
        <v>100</v>
      </c>
      <c r="V46" s="667" t="s">
        <v>17</v>
      </c>
      <c r="W46" s="668">
        <f t="shared" si="14"/>
        <v>100</v>
      </c>
      <c r="X46" s="1261"/>
      <c r="Y46" s="3408"/>
      <c r="Z46" s="1260">
        <f t="shared" si="18"/>
        <v>111</v>
      </c>
      <c r="AA46" s="1260">
        <f t="shared" si="15"/>
        <v>1</v>
      </c>
      <c r="AB46" s="1260">
        <f t="shared" si="16"/>
        <v>1</v>
      </c>
      <c r="AC46" s="1260">
        <f t="shared" si="17"/>
        <v>1</v>
      </c>
    </row>
    <row r="47" spans="1:29" ht="15">
      <c r="A47" s="416" t="s">
        <v>1708</v>
      </c>
      <c r="B47" s="417"/>
      <c r="C47" s="1077" t="s">
        <v>16</v>
      </c>
      <c r="D47" s="418"/>
      <c r="E47" s="419">
        <f>案例!C57</f>
        <v>7557</v>
      </c>
      <c r="F47" s="420"/>
      <c r="G47" s="421">
        <f>案例!C58</f>
        <v>7636</v>
      </c>
      <c r="H47" s="422"/>
      <c r="I47" s="419">
        <f>案例!C59</f>
        <v>7874</v>
      </c>
      <c r="J47" s="422"/>
      <c r="K47" s="1761"/>
      <c r="L47" s="2487"/>
      <c r="M47" s="2480"/>
      <c r="N47" s="2480"/>
      <c r="O47" s="2480"/>
      <c r="P47" s="3400" t="str">
        <f>A47</f>
        <v>成交单价（元/平方米）</v>
      </c>
      <c r="Q47" s="3400"/>
      <c r="R47" s="3401">
        <f>E47</f>
        <v>7557</v>
      </c>
      <c r="S47" s="3401"/>
      <c r="T47" s="3401">
        <f>G47</f>
        <v>7636</v>
      </c>
      <c r="U47" s="3401"/>
      <c r="V47" s="3401">
        <f>I47</f>
        <v>7874</v>
      </c>
      <c r="W47" s="3401"/>
      <c r="X47" s="385"/>
      <c r="Y47" s="673"/>
      <c r="Z47" s="385"/>
      <c r="AA47" s="385"/>
      <c r="AB47" s="385"/>
      <c r="AC47" s="385"/>
    </row>
    <row r="48" spans="1:29" ht="15.75" thickBot="1">
      <c r="A48" s="423" t="s">
        <v>1709</v>
      </c>
      <c r="B48" s="424"/>
      <c r="C48" s="1078">
        <f>R49</f>
        <v>7262</v>
      </c>
      <c r="D48" s="2135" t="s">
        <v>2138</v>
      </c>
      <c r="E48" s="1079">
        <f>R48</f>
        <v>7123</v>
      </c>
      <c r="F48" s="2136"/>
      <c r="G48" s="1078">
        <f>T48</f>
        <v>7238</v>
      </c>
      <c r="H48" s="2136"/>
      <c r="I48" s="1079">
        <f>V48</f>
        <v>7425</v>
      </c>
      <c r="J48" s="2136"/>
      <c r="K48" s="2137">
        <f>F48+H48+J48</f>
        <v>0</v>
      </c>
      <c r="L48" s="2487"/>
      <c r="M48" s="2480"/>
      <c r="N48" s="2480"/>
      <c r="O48" s="2480"/>
      <c r="P48" s="3400" t="str">
        <f>A48</f>
        <v>比较价值（元/平方米）</v>
      </c>
      <c r="Q48" s="3400"/>
      <c r="R48" s="3401">
        <f>IF(F1="售价",ROUND(PRODUCT(R47,AA7:AA46),0),ROUND(PRODUCT(R47,AA7:AA46),1))</f>
        <v>7123</v>
      </c>
      <c r="S48" s="3401"/>
      <c r="T48" s="3401">
        <f>IF(F1="售价",ROUND(PRODUCT(T47,AB7:AB46),0),ROUND(PRODUCT(T47,AB7:AB46),1))</f>
        <v>7238</v>
      </c>
      <c r="U48" s="3401"/>
      <c r="V48" s="3401">
        <f>IF(F1="售价",ROUND(PRODUCT(V47,AC7:AC46),0),ROUND(PRODUCT(V47,AC7:AC46),1))</f>
        <v>7425</v>
      </c>
      <c r="W48" s="3401"/>
      <c r="X48" s="385"/>
      <c r="Y48" s="385"/>
      <c r="Z48" s="385"/>
      <c r="AA48" s="385"/>
      <c r="AB48" s="385"/>
      <c r="AC48" s="385"/>
    </row>
    <row r="49" spans="1:29" ht="15.75" thickBot="1">
      <c r="A49" s="427" t="s">
        <v>1710</v>
      </c>
      <c r="B49" s="428"/>
      <c r="C49" s="1080">
        <f>R49</f>
        <v>7262</v>
      </c>
      <c r="D49" s="351"/>
      <c r="E49" s="351"/>
      <c r="F49" s="351"/>
      <c r="G49" s="351"/>
      <c r="H49" s="351"/>
      <c r="I49" s="351"/>
      <c r="J49" s="351"/>
      <c r="K49" s="1762"/>
      <c r="L49" s="2487"/>
      <c r="M49" s="2480"/>
      <c r="N49" s="2480"/>
      <c r="O49" s="2480"/>
      <c r="P49" s="3397" t="str">
        <f>A49</f>
        <v>估价对象XX用房的比较价值（楼面单价，元/平方米）</v>
      </c>
      <c r="Q49" s="3398"/>
      <c r="R49" s="3399">
        <f>IF(F1="售价",ROUND(IF(D48="简单平均",AVERAGE(R48:V48),R48*F48+T48*H48+V48*J48),0),ROUND(IF(D48="简单平均",AVERAGE(R48:V48),R48*F48+T48*H48+V48*J48),1))</f>
        <v>7262</v>
      </c>
      <c r="S49" s="3399"/>
      <c r="T49" s="3399"/>
      <c r="U49" s="3399"/>
      <c r="V49" s="3399"/>
      <c r="W49" s="339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6.0929383686648908E-2</v>
      </c>
      <c r="F52" s="435" t="str">
        <f>IF(OR(E52&gt;=0.3,E52&lt;=-0.3),"超过30%","")</f>
        <v/>
      </c>
      <c r="G52" s="434">
        <f>IF(G47&lt;G48,G48/G47-1,G47/G48-1)</f>
        <v>5.4987565625863599E-2</v>
      </c>
      <c r="H52" s="435" t="str">
        <f>IF(OR(G52&gt;=0.3,G52&lt;=-0.3),"超过30%","")</f>
        <v/>
      </c>
      <c r="I52" s="434">
        <f>IF(I47&lt;I48,I48/I47-1,I47/I48-1)</f>
        <v>6.0471380471380565E-2</v>
      </c>
      <c r="J52" s="435" t="str">
        <f>IF(OR(I52&gt;=0.3,I52&lt;=-0.3),"超过30%","")</f>
        <v/>
      </c>
      <c r="K52" s="2492"/>
      <c r="L52" s="2488"/>
      <c r="M52" s="2480"/>
      <c r="N52" s="2480"/>
      <c r="O52" s="2480"/>
    </row>
    <row r="53" spans="1:29" ht="13.5" customHeight="1">
      <c r="A53" s="2480"/>
      <c r="B53" s="2480"/>
      <c r="C53" s="432" t="s">
        <v>1712</v>
      </c>
      <c r="D53" s="436"/>
      <c r="E53" s="434">
        <f>IF(E48&lt;G48,G48/E48-1,E48/G48-1)</f>
        <v>1.6144882774111968E-2</v>
      </c>
      <c r="F53" s="435" t="str">
        <f>IF(OR(E53&gt;=0.2,E53&lt;=-0.2),"超过20%","")</f>
        <v/>
      </c>
      <c r="G53" s="434">
        <f>IF(G48&lt;I48,I48/G48-1,G48/I48-1)</f>
        <v>2.5835866261398222E-2</v>
      </c>
      <c r="H53" s="435" t="str">
        <f>IF(OR(G53&gt;=0.2,G53&lt;=-0.2),"超过20%","")</f>
        <v/>
      </c>
      <c r="I53" s="434">
        <f>IF(I48&lt;E48,E48/I48-1,I48/E48-1)</f>
        <v>4.2397866067668044E-2</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1.0453883816329279E-2</v>
      </c>
      <c r="F54" s="435" t="str">
        <f>IF(OR(E54&gt;=0.3,E54&lt;=-0.3),"超过30%","")</f>
        <v/>
      </c>
      <c r="G54" s="434">
        <f>IF(G47&lt;I47,I47/G47-1,G47/I47-1)</f>
        <v>3.1168150864326893E-2</v>
      </c>
      <c r="H54" s="435" t="str">
        <f>IF(OR(G54&gt;=0.3,G54&lt;=-0.3),"超过30%","")</f>
        <v/>
      </c>
      <c r="I54" s="434">
        <f>IF(I47&lt;E47,E47/I47-1,I47/E47-1)</f>
        <v>4.1947862908561673E-2</v>
      </c>
      <c r="J54" s="435" t="str">
        <f>IF(OR(I54&gt;=0.3,I54&lt;=-0.3),"超过30%","")</f>
        <v/>
      </c>
      <c r="K54" s="2495"/>
      <c r="L54" s="2489"/>
      <c r="M54" s="2490"/>
      <c r="N54" s="2490"/>
      <c r="O54" s="2490"/>
      <c r="P54" s="1764"/>
    </row>
    <row r="55" spans="1:29" s="437" customFormat="1">
      <c r="A55" s="2490"/>
      <c r="B55" s="2493"/>
      <c r="C55" s="2494"/>
      <c r="D55" s="2490"/>
      <c r="E55" s="2490"/>
      <c r="F55" s="2490"/>
      <c r="G55" s="2490"/>
      <c r="H55" s="2490"/>
      <c r="I55" s="2490"/>
      <c r="J55" s="2490"/>
      <c r="K55" s="2495"/>
      <c r="L55" s="2489"/>
      <c r="M55" s="2490"/>
      <c r="N55" s="2490"/>
      <c r="O55" s="2490"/>
      <c r="P55" s="1764"/>
    </row>
    <row r="56" spans="1:29">
      <c r="A56" s="2480"/>
      <c r="B56" s="2493"/>
      <c r="C56" s="2494"/>
      <c r="D56" s="2480"/>
      <c r="E56" s="2480"/>
      <c r="F56" s="2480"/>
      <c r="G56" s="2480"/>
      <c r="H56" s="2480"/>
      <c r="I56" s="2480"/>
      <c r="J56" s="2480"/>
      <c r="K56" s="2492"/>
      <c r="L56" s="2488"/>
      <c r="M56" s="2480"/>
      <c r="N56" s="2480"/>
      <c r="O56" s="2480"/>
    </row>
    <row r="57" spans="1:29" ht="21.75" thickBot="1">
      <c r="A57" s="658" t="s">
        <v>1714</v>
      </c>
      <c r="B57" s="385"/>
      <c r="C57" s="659"/>
      <c r="D57" s="659"/>
      <c r="E57" s="659"/>
      <c r="F57" s="660"/>
      <c r="G57" s="660"/>
      <c r="H57" s="659"/>
      <c r="I57" s="659"/>
      <c r="J57" s="659"/>
      <c r="K57" s="883"/>
      <c r="L57" s="884"/>
      <c r="M57" s="882"/>
      <c r="N57" s="882"/>
      <c r="O57" s="882"/>
      <c r="P57" s="1765"/>
      <c r="Q57" s="439"/>
    </row>
    <row r="58" spans="1:29" s="442" customFormat="1" ht="15">
      <c r="A58" s="440" t="s">
        <v>1715</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6"/>
      <c r="C59" s="1098">
        <v>100</v>
      </c>
      <c r="D59" s="445">
        <f>C59+$C$60</f>
        <v>100.8</v>
      </c>
      <c r="E59" s="445">
        <f t="shared" ref="E59:L59" si="20">D59+$C$60</f>
        <v>101.6</v>
      </c>
      <c r="F59" s="445">
        <f t="shared" si="20"/>
        <v>102.39999999999999</v>
      </c>
      <c r="G59" s="445">
        <f t="shared" si="20"/>
        <v>103.19999999999999</v>
      </c>
      <c r="H59" s="445">
        <f t="shared" si="20"/>
        <v>103.99999999999999</v>
      </c>
      <c r="I59" s="445">
        <f t="shared" si="20"/>
        <v>104.79999999999998</v>
      </c>
      <c r="J59" s="445">
        <f t="shared" si="20"/>
        <v>105.59999999999998</v>
      </c>
      <c r="K59" s="445">
        <f t="shared" si="20"/>
        <v>106.39999999999998</v>
      </c>
      <c r="L59" s="445">
        <f t="shared" si="20"/>
        <v>107.19999999999997</v>
      </c>
      <c r="M59" s="447"/>
      <c r="N59" s="446"/>
      <c r="O59" s="447"/>
      <c r="P59" s="1767"/>
    </row>
    <row r="60" spans="1:29" s="102" customFormat="1" ht="15.75" thickBot="1">
      <c r="A60" s="449" t="s">
        <v>1716</v>
      </c>
      <c r="B60" s="450"/>
      <c r="C60" s="451">
        <v>0.8</v>
      </c>
      <c r="D60" s="452"/>
      <c r="E60" s="452"/>
      <c r="F60" s="452"/>
      <c r="G60" s="452"/>
      <c r="H60" s="452"/>
      <c r="I60" s="452"/>
      <c r="J60" s="452"/>
      <c r="K60" s="452"/>
      <c r="L60" s="452"/>
      <c r="M60" s="453"/>
      <c r="N60" s="452"/>
      <c r="O60" s="453"/>
      <c r="P60" s="1767"/>
      <c r="Q60" s="439"/>
    </row>
    <row r="61" spans="1:29" s="102" customFormat="1" ht="15">
      <c r="A61" s="455" t="s">
        <v>1717</v>
      </c>
      <c r="B61" s="444"/>
      <c r="C61" s="456" t="s">
        <v>1718</v>
      </c>
      <c r="D61" s="3181" t="s">
        <v>3496</v>
      </c>
      <c r="E61" s="31"/>
      <c r="F61" s="31"/>
      <c r="G61" s="31"/>
      <c r="H61" s="31"/>
      <c r="I61" s="31"/>
      <c r="J61" s="31"/>
      <c r="K61" s="31"/>
      <c r="L61" s="457"/>
      <c r="M61" s="458"/>
      <c r="N61" s="874"/>
      <c r="O61" s="874"/>
      <c r="P61" s="1768"/>
      <c r="Q61" s="439"/>
    </row>
    <row r="62" spans="1:29" s="102" customFormat="1" ht="15.75" thickBot="1">
      <c r="A62" s="455"/>
      <c r="B62" s="444"/>
      <c r="C62" s="445">
        <v>100</v>
      </c>
      <c r="D62" s="446">
        <v>105</v>
      </c>
      <c r="E62" s="446"/>
      <c r="F62" s="446"/>
      <c r="G62" s="446"/>
      <c r="H62" s="446"/>
      <c r="I62" s="446"/>
      <c r="J62" s="446"/>
      <c r="K62" s="446"/>
      <c r="L62" s="446"/>
      <c r="M62" s="448"/>
      <c r="N62" s="874"/>
      <c r="O62" s="874"/>
      <c r="P62" s="1767"/>
      <c r="Q62" s="439"/>
    </row>
    <row r="63" spans="1:29">
      <c r="A63" s="379" t="s">
        <v>1719</v>
      </c>
      <c r="B63" s="460" t="s">
        <v>1685</v>
      </c>
      <c r="C63" s="461" t="str">
        <f>C9</f>
        <v>住宅</v>
      </c>
      <c r="D63" s="462"/>
      <c r="E63" s="462"/>
      <c r="F63" s="462"/>
      <c r="G63" s="462"/>
      <c r="H63" s="462"/>
      <c r="I63" s="462"/>
      <c r="J63" s="462"/>
      <c r="K63" s="463"/>
      <c r="L63" s="464"/>
      <c r="M63" s="465"/>
      <c r="N63" s="875"/>
      <c r="O63" s="875"/>
      <c r="P63" s="1769"/>
      <c r="Q63" s="439"/>
    </row>
    <row r="64" spans="1:29" ht="15.75" thickBot="1">
      <c r="A64" s="367"/>
      <c r="B64" s="466"/>
      <c r="C64" s="467">
        <v>100</v>
      </c>
      <c r="D64" s="467"/>
      <c r="E64" s="467"/>
      <c r="F64" s="467"/>
      <c r="G64" s="467"/>
      <c r="H64" s="467"/>
      <c r="I64" s="467"/>
      <c r="J64" s="467"/>
      <c r="K64" s="467"/>
      <c r="L64" s="467"/>
      <c r="M64" s="468"/>
      <c r="N64" s="876"/>
      <c r="O64" s="876"/>
      <c r="P64" s="1769"/>
      <c r="Q64" s="439"/>
    </row>
    <row r="65" spans="1:17" ht="27.75" thickTop="1">
      <c r="A65" s="367"/>
      <c r="B65" s="469" t="s">
        <v>1688</v>
      </c>
      <c r="C65" s="513"/>
      <c r="D65" s="513"/>
      <c r="E65" s="513"/>
      <c r="F65" s="513"/>
      <c r="G65" s="513"/>
      <c r="H65" s="513"/>
      <c r="I65" s="513"/>
      <c r="J65" s="513"/>
      <c r="K65" s="513"/>
      <c r="L65" s="513"/>
      <c r="M65" s="513"/>
      <c r="N65" s="876"/>
      <c r="O65" s="876"/>
      <c r="P65" s="1769"/>
      <c r="Q65" s="439"/>
    </row>
    <row r="66" spans="1:17" ht="15.75" thickBot="1">
      <c r="A66" s="367"/>
      <c r="B66" s="474"/>
      <c r="C66" s="467"/>
      <c r="D66" s="467"/>
      <c r="E66" s="467"/>
      <c r="F66" s="467"/>
      <c r="G66" s="467"/>
      <c r="H66" s="467"/>
      <c r="I66" s="467"/>
      <c r="J66" s="467"/>
      <c r="K66" s="467"/>
      <c r="L66" s="467"/>
      <c r="M66" s="468"/>
      <c r="N66" s="876"/>
      <c r="O66" s="876"/>
      <c r="P66" s="1769"/>
      <c r="Q66" s="439"/>
    </row>
    <row r="67" spans="1:17" ht="15.75" thickTop="1">
      <c r="A67" s="367"/>
      <c r="B67" s="477" t="s">
        <v>1689</v>
      </c>
      <c r="C67" s="478" t="str">
        <f>C68&amp;"（含）"&amp;"-"&amp;D68</f>
        <v>0（含）-2</v>
      </c>
      <c r="D67" s="478" t="str">
        <f t="shared" ref="D67:L67" si="21">D68&amp;"（含）"&amp;"-"&amp;E68</f>
        <v>2（含）-4</v>
      </c>
      <c r="E67" s="478" t="str">
        <f t="shared" si="21"/>
        <v>4（含）-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76"/>
      <c r="O67" s="876"/>
      <c r="P67" s="1769"/>
      <c r="Q67" s="439"/>
    </row>
    <row r="68" spans="1:17" ht="15">
      <c r="A68" s="367"/>
      <c r="B68" s="479"/>
      <c r="C68" s="480">
        <v>0</v>
      </c>
      <c r="D68" s="480">
        <v>2</v>
      </c>
      <c r="E68" s="480">
        <v>4</v>
      </c>
      <c r="F68" s="480"/>
      <c r="G68" s="480"/>
      <c r="H68" s="480"/>
      <c r="I68" s="480"/>
      <c r="J68" s="480"/>
      <c r="K68" s="481"/>
      <c r="L68" s="482"/>
      <c r="M68" s="483"/>
      <c r="N68" s="875"/>
      <c r="O68" s="875"/>
      <c r="P68" s="1769"/>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76"/>
      <c r="O69" s="876"/>
      <c r="P69" s="1769"/>
      <c r="Q69" s="439"/>
    </row>
    <row r="70" spans="1:17" s="408" customFormat="1" ht="15.75" thickTop="1">
      <c r="A70" s="484"/>
      <c r="B70" s="469">
        <f>B12</f>
        <v>111</v>
      </c>
      <c r="C70" s="485"/>
      <c r="D70" s="485"/>
      <c r="E70" s="485"/>
      <c r="F70" s="485"/>
      <c r="G70" s="485"/>
      <c r="H70" s="486"/>
      <c r="I70" s="486"/>
      <c r="J70" s="486"/>
      <c r="K70" s="486"/>
      <c r="L70" s="487"/>
      <c r="M70" s="488"/>
      <c r="N70" s="877"/>
      <c r="O70" s="877"/>
      <c r="P70" s="1770"/>
      <c r="Q70" s="490"/>
    </row>
    <row r="71" spans="1:17" s="408" customFormat="1" ht="15.75" thickBot="1">
      <c r="A71" s="484"/>
      <c r="B71" s="474"/>
      <c r="C71" s="491"/>
      <c r="D71" s="467"/>
      <c r="E71" s="467"/>
      <c r="F71" s="467"/>
      <c r="G71" s="467"/>
      <c r="H71" s="467"/>
      <c r="I71" s="467"/>
      <c r="J71" s="467"/>
      <c r="K71" s="467"/>
      <c r="L71" s="467"/>
      <c r="M71" s="468"/>
      <c r="N71" s="876"/>
      <c r="O71" s="876"/>
      <c r="P71" s="1770"/>
      <c r="Q71" s="490"/>
    </row>
    <row r="72" spans="1:17" s="408" customFormat="1" ht="15.75" thickTop="1">
      <c r="A72" s="484"/>
      <c r="B72" s="469">
        <f>B13</f>
        <v>111</v>
      </c>
      <c r="C72" s="485"/>
      <c r="D72" s="485"/>
      <c r="E72" s="485"/>
      <c r="F72" s="485"/>
      <c r="G72" s="485"/>
      <c r="H72" s="486"/>
      <c r="I72" s="486"/>
      <c r="J72" s="486"/>
      <c r="K72" s="486"/>
      <c r="L72" s="487"/>
      <c r="M72" s="488"/>
      <c r="N72" s="877"/>
      <c r="O72" s="877"/>
      <c r="P72" s="1771"/>
      <c r="Q72" s="492"/>
    </row>
    <row r="73" spans="1:17" s="408" customFormat="1" ht="15.75" thickBot="1">
      <c r="A73" s="484"/>
      <c r="B73" s="474"/>
      <c r="C73" s="491"/>
      <c r="D73" s="491"/>
      <c r="E73" s="491"/>
      <c r="F73" s="491"/>
      <c r="G73" s="491"/>
      <c r="H73" s="493"/>
      <c r="I73" s="493"/>
      <c r="J73" s="493"/>
      <c r="K73" s="493"/>
      <c r="L73" s="493"/>
      <c r="M73" s="494"/>
      <c r="N73" s="877"/>
      <c r="O73" s="877"/>
      <c r="P73" s="1770"/>
      <c r="Q73" s="490"/>
    </row>
    <row r="74" spans="1:17" s="408" customFormat="1" ht="15.75" thickTop="1">
      <c r="A74" s="484"/>
      <c r="B74" s="477" t="str">
        <f>B14</f>
        <v>房屋性质</v>
      </c>
      <c r="C74" s="485"/>
      <c r="D74" s="485"/>
      <c r="E74" s="485"/>
      <c r="F74" s="485"/>
      <c r="G74" s="31"/>
      <c r="H74" s="495"/>
      <c r="I74" s="495"/>
      <c r="J74" s="495"/>
      <c r="K74" s="495"/>
      <c r="L74" s="496"/>
      <c r="M74" s="497"/>
      <c r="N74" s="877"/>
      <c r="O74" s="877"/>
      <c r="P74" s="1772"/>
      <c r="Q74" s="490"/>
    </row>
    <row r="75" spans="1:17" s="408" customFormat="1" ht="15.75" thickBot="1">
      <c r="A75" s="499"/>
      <c r="B75" s="500"/>
      <c r="C75" s="501"/>
      <c r="D75" s="501"/>
      <c r="E75" s="501"/>
      <c r="F75" s="501"/>
      <c r="G75" s="501"/>
      <c r="H75" s="502"/>
      <c r="I75" s="502"/>
      <c r="J75" s="502"/>
      <c r="K75" s="502"/>
      <c r="L75" s="502"/>
      <c r="M75" s="503"/>
      <c r="N75" s="877"/>
      <c r="O75" s="877"/>
      <c r="P75" s="1770"/>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69"/>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69"/>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69"/>
      <c r="Q81" s="439"/>
    </row>
    <row r="82" spans="1:17" ht="15.75" thickTop="1">
      <c r="A82" s="367"/>
      <c r="B82" s="477" t="s">
        <v>1260</v>
      </c>
      <c r="C82" s="470" t="s">
        <v>1728</v>
      </c>
      <c r="D82" s="470" t="s">
        <v>1729</v>
      </c>
      <c r="E82" s="470" t="s">
        <v>1730</v>
      </c>
      <c r="F82" s="470" t="s">
        <v>1731</v>
      </c>
      <c r="G82" s="470" t="s">
        <v>1732</v>
      </c>
      <c r="H82" s="470"/>
      <c r="I82" s="470"/>
      <c r="J82" s="470"/>
      <c r="K82" s="470"/>
      <c r="L82" s="470"/>
      <c r="M82" s="1059"/>
      <c r="N82" s="876"/>
      <c r="O82" s="876"/>
      <c r="P82" s="1769"/>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76"/>
      <c r="O83" s="876"/>
      <c r="P83" s="1769"/>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69"/>
      <c r="Q85" s="439"/>
    </row>
    <row r="86" spans="1:17" s="102" customFormat="1" ht="15.75" thickTop="1">
      <c r="A86" s="370"/>
      <c r="B86" s="469" t="s">
        <v>1734</v>
      </c>
      <c r="C86" s="3179" t="s">
        <v>3485</v>
      </c>
      <c r="D86" s="3179" t="s">
        <v>3487</v>
      </c>
      <c r="E86" s="3179" t="s">
        <v>3488</v>
      </c>
      <c r="F86" s="485"/>
      <c r="G86" s="485"/>
      <c r="H86" s="485"/>
      <c r="I86" s="485"/>
      <c r="J86" s="485"/>
      <c r="K86" s="485"/>
      <c r="L86" s="510"/>
      <c r="M86" s="511"/>
      <c r="N86" s="874"/>
      <c r="O86" s="874"/>
      <c r="P86" s="1769"/>
      <c r="Q86" s="439"/>
    </row>
    <row r="87" spans="1:17" s="102" customFormat="1" ht="15.75" thickBot="1">
      <c r="A87" s="370"/>
      <c r="B87" s="474"/>
      <c r="C87" s="512">
        <v>100</v>
      </c>
      <c r="D87" s="475">
        <f>C87+$K$25</f>
        <v>101</v>
      </c>
      <c r="E87" s="475">
        <f>D87+$K$25</f>
        <v>102</v>
      </c>
      <c r="F87" s="475" t="e">
        <f t="shared" ref="F87:M87" si="24">$C$87-($C$86-F86)*$K$25</f>
        <v>#VALUE!</v>
      </c>
      <c r="G87" s="475" t="e">
        <f t="shared" si="24"/>
        <v>#VALUE!</v>
      </c>
      <c r="H87" s="475" t="e">
        <f t="shared" si="24"/>
        <v>#VALUE!</v>
      </c>
      <c r="I87" s="475" t="e">
        <f t="shared" si="24"/>
        <v>#VALUE!</v>
      </c>
      <c r="J87" s="475" t="e">
        <f t="shared" si="24"/>
        <v>#VALUE!</v>
      </c>
      <c r="K87" s="475" t="e">
        <f t="shared" si="24"/>
        <v>#VALUE!</v>
      </c>
      <c r="L87" s="475" t="e">
        <f t="shared" si="24"/>
        <v>#VALUE!</v>
      </c>
      <c r="M87" s="475" t="e">
        <f t="shared" si="24"/>
        <v>#VALUE!</v>
      </c>
      <c r="N87" s="876"/>
      <c r="O87" s="876"/>
      <c r="P87" s="1769"/>
      <c r="Q87" s="439"/>
    </row>
    <row r="88" spans="1:17" s="102" customFormat="1" ht="15.75" thickTop="1">
      <c r="A88" s="370"/>
      <c r="B88" s="469" t="s">
        <v>1735</v>
      </c>
      <c r="C88" s="3179" t="s">
        <v>3483</v>
      </c>
      <c r="D88" s="485"/>
      <c r="E88" s="485"/>
      <c r="F88" s="1774"/>
      <c r="G88" s="485"/>
      <c r="H88" s="485"/>
      <c r="I88" s="485"/>
      <c r="J88" s="485"/>
      <c r="K88" s="485"/>
      <c r="L88" s="485"/>
      <c r="M88" s="511"/>
      <c r="N88" s="874"/>
      <c r="O88" s="874"/>
      <c r="P88" s="1769"/>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76"/>
      <c r="O89" s="876"/>
      <c r="P89" s="1769"/>
      <c r="Q89" s="439"/>
    </row>
    <row r="90" spans="1:17" s="408" customFormat="1" ht="15.75" thickTop="1">
      <c r="A90" s="484"/>
      <c r="B90" s="469">
        <f>B27</f>
        <v>111</v>
      </c>
      <c r="C90" s="485"/>
      <c r="D90" s="485"/>
      <c r="E90" s="485"/>
      <c r="F90" s="485"/>
      <c r="G90" s="485"/>
      <c r="H90" s="486"/>
      <c r="I90" s="486"/>
      <c r="J90" s="486"/>
      <c r="K90" s="486"/>
      <c r="L90" s="487"/>
      <c r="M90" s="488"/>
      <c r="N90" s="877"/>
      <c r="O90" s="877"/>
      <c r="P90" s="1770"/>
      <c r="Q90" s="490"/>
    </row>
    <row r="91" spans="1:17" s="408" customFormat="1" ht="15.75" thickBot="1">
      <c r="A91" s="484"/>
      <c r="B91" s="474"/>
      <c r="C91" s="491"/>
      <c r="D91" s="491"/>
      <c r="E91" s="491"/>
      <c r="F91" s="491"/>
      <c r="G91" s="491"/>
      <c r="H91" s="493"/>
      <c r="I91" s="493"/>
      <c r="J91" s="493"/>
      <c r="K91" s="493"/>
      <c r="L91" s="493"/>
      <c r="M91" s="494"/>
      <c r="N91" s="877"/>
      <c r="O91" s="877"/>
      <c r="P91" s="1770"/>
      <c r="Q91" s="490"/>
    </row>
    <row r="92" spans="1:17" ht="15.75" thickTop="1">
      <c r="A92" s="367"/>
      <c r="B92" s="469">
        <f>B28</f>
        <v>111</v>
      </c>
      <c r="C92" s="485"/>
      <c r="D92" s="485"/>
      <c r="E92" s="485"/>
      <c r="F92" s="485"/>
      <c r="G92" s="513"/>
      <c r="H92" s="513"/>
      <c r="I92" s="513"/>
      <c r="J92" s="513"/>
      <c r="K92" s="514"/>
      <c r="L92" s="515"/>
      <c r="M92" s="516"/>
      <c r="N92" s="875"/>
      <c r="O92" s="875"/>
      <c r="P92" s="1769"/>
      <c r="Q92" s="439"/>
    </row>
    <row r="93" spans="1:17" ht="15.75" thickBot="1">
      <c r="A93" s="367"/>
      <c r="B93" s="474"/>
      <c r="C93" s="491"/>
      <c r="D93" s="467"/>
      <c r="E93" s="467"/>
      <c r="F93" s="467"/>
      <c r="G93" s="467"/>
      <c r="H93" s="467"/>
      <c r="I93" s="467"/>
      <c r="J93" s="467"/>
      <c r="K93" s="467"/>
      <c r="L93" s="467"/>
      <c r="M93" s="468"/>
      <c r="N93" s="876"/>
      <c r="O93" s="876"/>
      <c r="P93" s="1769"/>
      <c r="Q93" s="439"/>
    </row>
    <row r="94" spans="1:17" ht="15.75" thickTop="1">
      <c r="A94" s="367"/>
      <c r="B94" s="469">
        <f>B29</f>
        <v>111</v>
      </c>
      <c r="C94" s="485"/>
      <c r="D94" s="485"/>
      <c r="E94" s="485"/>
      <c r="F94" s="485"/>
      <c r="G94" s="513"/>
      <c r="H94" s="513"/>
      <c r="I94" s="513"/>
      <c r="J94" s="513"/>
      <c r="K94" s="514"/>
      <c r="L94" s="515"/>
      <c r="M94" s="516"/>
      <c r="N94" s="875"/>
      <c r="O94" s="875"/>
      <c r="P94" s="1769"/>
      <c r="Q94" s="439"/>
    </row>
    <row r="95" spans="1:17" ht="15.75" thickBot="1">
      <c r="A95" s="367"/>
      <c r="B95" s="474"/>
      <c r="C95" s="491"/>
      <c r="D95" s="491"/>
      <c r="E95" s="491"/>
      <c r="F95" s="491"/>
      <c r="G95" s="467"/>
      <c r="H95" s="467"/>
      <c r="I95" s="467"/>
      <c r="J95" s="467"/>
      <c r="K95" s="467"/>
      <c r="L95" s="467"/>
      <c r="M95" s="468"/>
      <c r="N95" s="876"/>
      <c r="O95" s="876"/>
      <c r="P95" s="1769"/>
      <c r="Q95" s="439"/>
    </row>
    <row r="96" spans="1:17" ht="15.75" thickTop="1">
      <c r="A96" s="367"/>
      <c r="B96" s="469">
        <f>B30</f>
        <v>111</v>
      </c>
      <c r="C96" s="485"/>
      <c r="D96" s="485"/>
      <c r="E96" s="485"/>
      <c r="F96" s="485"/>
      <c r="G96" s="513"/>
      <c r="H96" s="513"/>
      <c r="I96" s="513"/>
      <c r="J96" s="513"/>
      <c r="K96" s="514"/>
      <c r="L96" s="515"/>
      <c r="M96" s="516"/>
      <c r="N96" s="875"/>
      <c r="O96" s="875"/>
      <c r="P96" s="1769"/>
      <c r="Q96" s="439"/>
    </row>
    <row r="97" spans="1:17" ht="15.75" thickBot="1">
      <c r="A97" s="367"/>
      <c r="B97" s="474"/>
      <c r="C97" s="501"/>
      <c r="D97" s="501"/>
      <c r="E97" s="501"/>
      <c r="F97" s="501"/>
      <c r="G97" s="467"/>
      <c r="H97" s="467"/>
      <c r="I97" s="467"/>
      <c r="J97" s="467"/>
      <c r="K97" s="467"/>
      <c r="L97" s="467"/>
      <c r="M97" s="468"/>
      <c r="N97" s="876"/>
      <c r="O97" s="876"/>
      <c r="P97" s="1769"/>
      <c r="Q97" s="439"/>
    </row>
    <row r="98" spans="1:17" ht="15.75" thickTop="1">
      <c r="A98" s="367"/>
      <c r="B98" s="477">
        <f>B31</f>
        <v>111</v>
      </c>
      <c r="C98" s="517"/>
      <c r="D98" s="517"/>
      <c r="E98" s="517"/>
      <c r="F98" s="517"/>
      <c r="G98" s="517"/>
      <c r="H98" s="517"/>
      <c r="I98" s="517"/>
      <c r="J98" s="517"/>
      <c r="K98" s="518"/>
      <c r="L98" s="519"/>
      <c r="M98" s="520"/>
      <c r="N98" s="875"/>
      <c r="O98" s="875"/>
      <c r="P98" s="1769"/>
      <c r="Q98" s="439"/>
    </row>
    <row r="99" spans="1:17" ht="15.75" thickBot="1">
      <c r="A99" s="375"/>
      <c r="B99" s="500"/>
      <c r="C99" s="521"/>
      <c r="D99" s="521"/>
      <c r="E99" s="521"/>
      <c r="F99" s="521"/>
      <c r="G99" s="521"/>
      <c r="H99" s="521"/>
      <c r="I99" s="521"/>
      <c r="J99" s="521"/>
      <c r="K99" s="521"/>
      <c r="L99" s="521"/>
      <c r="M99" s="522"/>
      <c r="N99" s="876"/>
      <c r="O99" s="876"/>
      <c r="P99" s="1769"/>
      <c r="Q99" s="439"/>
    </row>
    <row r="100" spans="1:17">
      <c r="A100" s="379" t="s">
        <v>1694</v>
      </c>
      <c r="B100" s="460" t="s">
        <v>1736</v>
      </c>
      <c r="C100" s="3182" t="s">
        <v>3498</v>
      </c>
      <c r="D100" s="462"/>
      <c r="E100" s="462"/>
      <c r="F100" s="462"/>
      <c r="G100" s="462"/>
      <c r="H100" s="462"/>
      <c r="I100" s="462"/>
      <c r="J100" s="462"/>
      <c r="K100" s="463"/>
      <c r="L100" s="464"/>
      <c r="M100" s="465"/>
      <c r="N100" s="875"/>
      <c r="O100" s="875"/>
      <c r="P100" s="1769"/>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76"/>
      <c r="O101" s="876"/>
      <c r="P101" s="1769"/>
      <c r="Q101" s="439"/>
    </row>
    <row r="102" spans="1:17" ht="15.75" thickTop="1">
      <c r="A102" s="367"/>
      <c r="B102" s="469" t="s">
        <v>1737</v>
      </c>
      <c r="C102" s="509" t="str">
        <f>C103&amp;"(含)"&amp;"-"&amp;D103</f>
        <v>0(含)-80</v>
      </c>
      <c r="D102" s="509" t="str">
        <f t="shared" ref="D102:L102" si="27">D103&amp;"(含)"&amp;"-"&amp;E103</f>
        <v>80(含)-100</v>
      </c>
      <c r="E102" s="509" t="str">
        <f t="shared" si="27"/>
        <v>100(含)-120</v>
      </c>
      <c r="F102" s="509" t="str">
        <f t="shared" si="27"/>
        <v>120(含)-140</v>
      </c>
      <c r="G102" s="509" t="str">
        <f t="shared" si="27"/>
        <v>140(含)-160</v>
      </c>
      <c r="H102" s="509" t="str">
        <f t="shared" si="27"/>
        <v>160(含)-180</v>
      </c>
      <c r="I102" s="509" t="str">
        <f t="shared" si="27"/>
        <v>180(含)-</v>
      </c>
      <c r="J102" s="509" t="str">
        <f t="shared" si="27"/>
        <v>(含)-</v>
      </c>
      <c r="K102" s="509" t="str">
        <f>K103&amp;"(含)"&amp;"-"&amp;L103</f>
        <v>(含)-</v>
      </c>
      <c r="L102" s="509" t="str">
        <f t="shared" si="27"/>
        <v>(含)-</v>
      </c>
      <c r="M102" s="509" t="str">
        <f>M103&amp;"(含)"&amp;"-"&amp;P103</f>
        <v>(含)-</v>
      </c>
      <c r="N102" s="874"/>
      <c r="O102" s="874"/>
      <c r="P102" s="1769"/>
      <c r="Q102" s="439"/>
    </row>
    <row r="103" spans="1:17" s="408" customFormat="1">
      <c r="A103" s="406"/>
      <c r="B103" s="523"/>
      <c r="C103" s="6">
        <v>0</v>
      </c>
      <c r="D103" s="6">
        <v>80</v>
      </c>
      <c r="E103" s="6">
        <v>100</v>
      </c>
      <c r="F103" s="6">
        <v>120</v>
      </c>
      <c r="G103" s="6">
        <v>140</v>
      </c>
      <c r="H103" s="6">
        <v>160</v>
      </c>
      <c r="I103" s="6">
        <v>180</v>
      </c>
      <c r="J103" s="524"/>
      <c r="K103" s="524"/>
      <c r="L103" s="525"/>
      <c r="M103" s="526"/>
      <c r="N103" s="877"/>
      <c r="O103" s="877"/>
      <c r="P103" s="1770"/>
      <c r="Q103" s="490"/>
    </row>
    <row r="104" spans="1:17" s="408" customFormat="1" ht="15.75" thickBot="1">
      <c r="A104" s="484"/>
      <c r="B104" s="474"/>
      <c r="C104" s="467">
        <f t="shared" ref="C104:E104" si="28">D104+$K$33</f>
        <v>104</v>
      </c>
      <c r="D104" s="467">
        <f t="shared" si="28"/>
        <v>103</v>
      </c>
      <c r="E104" s="467">
        <f t="shared" si="28"/>
        <v>102</v>
      </c>
      <c r="F104" s="467">
        <f>G104+$K$33</f>
        <v>101</v>
      </c>
      <c r="G104" s="467">
        <v>100</v>
      </c>
      <c r="H104" s="467">
        <f>G104-$K$33</f>
        <v>99</v>
      </c>
      <c r="I104" s="467">
        <f>H104-$K$33</f>
        <v>98</v>
      </c>
      <c r="J104" s="467"/>
      <c r="K104" s="467"/>
      <c r="L104" s="467"/>
      <c r="M104" s="467"/>
      <c r="N104" s="876"/>
      <c r="O104" s="876"/>
      <c r="P104" s="1770"/>
      <c r="Q104" s="490"/>
    </row>
    <row r="105" spans="1:17" ht="15" thickTop="1">
      <c r="A105" s="409"/>
      <c r="B105" s="469" t="s">
        <v>1738</v>
      </c>
      <c r="C105" s="3179" t="s">
        <v>3500</v>
      </c>
      <c r="D105" s="485"/>
      <c r="E105" s="513"/>
      <c r="F105" s="513"/>
      <c r="G105" s="513"/>
      <c r="H105" s="513"/>
      <c r="I105" s="513"/>
      <c r="J105" s="513"/>
      <c r="K105" s="514"/>
      <c r="L105" s="515"/>
      <c r="M105" s="516"/>
      <c r="N105" s="875"/>
      <c r="O105" s="875"/>
      <c r="P105" s="1769"/>
      <c r="Q105" s="439"/>
    </row>
    <row r="106" spans="1:17"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5">
        <f t="shared" si="29"/>
        <v>100</v>
      </c>
      <c r="N106" s="876"/>
      <c r="O106" s="876"/>
      <c r="P106" s="1769"/>
      <c r="Q106" s="439"/>
    </row>
    <row r="107" spans="1:17" ht="15" thickTop="1">
      <c r="A107" s="409"/>
      <c r="B107" s="469" t="s">
        <v>1739</v>
      </c>
      <c r="C107" s="513"/>
      <c r="D107" s="513"/>
      <c r="E107" s="513"/>
      <c r="F107" s="513"/>
      <c r="G107" s="513"/>
      <c r="H107" s="513"/>
      <c r="I107" s="513"/>
      <c r="J107" s="513"/>
      <c r="K107" s="514"/>
      <c r="L107" s="515"/>
      <c r="M107" s="516"/>
      <c r="N107" s="875"/>
      <c r="O107" s="875"/>
      <c r="P107" s="1769"/>
      <c r="Q107" s="439"/>
    </row>
    <row r="108" spans="1:17"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76"/>
      <c r="O108" s="876"/>
      <c r="P108" s="1769"/>
      <c r="Q108" s="439"/>
    </row>
    <row r="109" spans="1:17" ht="15" thickTop="1">
      <c r="A109" s="409"/>
      <c r="B109" s="469" t="s">
        <v>1740</v>
      </c>
      <c r="C109" s="3179" t="s">
        <v>3502</v>
      </c>
      <c r="D109" s="485"/>
      <c r="E109" s="485"/>
      <c r="F109" s="513"/>
      <c r="G109" s="513"/>
      <c r="H109" s="513"/>
      <c r="I109" s="513"/>
      <c r="J109" s="513"/>
      <c r="K109" s="514"/>
      <c r="L109" s="515"/>
      <c r="M109" s="516"/>
      <c r="N109" s="875"/>
      <c r="O109" s="875"/>
      <c r="P109" s="1769"/>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76"/>
      <c r="O110" s="876"/>
      <c r="P110" s="1769"/>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0"/>
      <c r="Q113" s="490"/>
    </row>
    <row r="114" spans="1:17" ht="15" thickTop="1">
      <c r="A114" s="409"/>
      <c r="B114" s="469" t="s">
        <v>1741</v>
      </c>
      <c r="C114" s="3179" t="s">
        <v>3504</v>
      </c>
      <c r="D114" s="485"/>
      <c r="E114" s="513"/>
      <c r="F114" s="513"/>
      <c r="G114" s="513"/>
      <c r="H114" s="513"/>
      <c r="I114" s="513"/>
      <c r="J114" s="513"/>
      <c r="K114" s="514"/>
      <c r="L114" s="515"/>
      <c r="M114" s="516"/>
      <c r="N114" s="875"/>
      <c r="O114" s="875"/>
      <c r="P114" s="1769"/>
      <c r="Q114" s="439"/>
    </row>
    <row r="115" spans="1:17" ht="15.75" thickBot="1">
      <c r="A115" s="367"/>
      <c r="B115" s="474"/>
      <c r="C115" s="475">
        <v>100</v>
      </c>
      <c r="D115" s="475">
        <f t="shared" ref="D115:M115" si="32">C115-$K38</f>
        <v>100</v>
      </c>
      <c r="E115" s="475">
        <f t="shared" si="32"/>
        <v>100</v>
      </c>
      <c r="F115" s="475">
        <f t="shared" si="32"/>
        <v>100</v>
      </c>
      <c r="G115" s="475">
        <f t="shared" si="32"/>
        <v>100</v>
      </c>
      <c r="H115" s="475">
        <f t="shared" si="32"/>
        <v>100</v>
      </c>
      <c r="I115" s="475">
        <f t="shared" si="32"/>
        <v>100</v>
      </c>
      <c r="J115" s="475">
        <f t="shared" si="32"/>
        <v>100</v>
      </c>
      <c r="K115" s="475">
        <f t="shared" si="32"/>
        <v>100</v>
      </c>
      <c r="L115" s="475">
        <f t="shared" si="32"/>
        <v>100</v>
      </c>
      <c r="M115" s="475">
        <f t="shared" si="32"/>
        <v>100</v>
      </c>
      <c r="N115" s="876"/>
      <c r="O115" s="876"/>
      <c r="P115" s="1769"/>
      <c r="Q115" s="439"/>
    </row>
    <row r="116" spans="1:17" ht="15" thickTop="1">
      <c r="A116" s="409"/>
      <c r="B116" s="469" t="s">
        <v>1742</v>
      </c>
      <c r="C116" s="3179" t="s">
        <v>3505</v>
      </c>
      <c r="D116" s="485"/>
      <c r="E116" s="485"/>
      <c r="F116" s="485"/>
      <c r="G116" s="485"/>
      <c r="H116" s="513"/>
      <c r="I116" s="513"/>
      <c r="J116" s="513"/>
      <c r="K116" s="514"/>
      <c r="L116" s="515"/>
      <c r="M116" s="516"/>
      <c r="N116" s="875"/>
      <c r="O116" s="875"/>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69"/>
      <c r="Q117" s="439"/>
    </row>
    <row r="118" spans="1:17" ht="15" thickTop="1">
      <c r="A118" s="409"/>
      <c r="B118" s="469" t="s">
        <v>1743</v>
      </c>
      <c r="C118" s="3183" t="s">
        <v>3507</v>
      </c>
      <c r="D118" s="3183" t="s">
        <v>3510</v>
      </c>
      <c r="E118" s="513"/>
      <c r="F118" s="513"/>
      <c r="G118" s="513"/>
      <c r="H118" s="513"/>
      <c r="I118" s="513"/>
      <c r="J118" s="513"/>
      <c r="K118" s="514"/>
      <c r="L118" s="515"/>
      <c r="M118" s="516"/>
      <c r="N118" s="875"/>
      <c r="O118" s="875"/>
      <c r="P118" s="1769"/>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76"/>
      <c r="O119" s="876"/>
      <c r="P119" s="1769"/>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0"/>
      <c r="Q120" s="490"/>
    </row>
    <row r="121" spans="1:17" s="408" customFormat="1" ht="15.75" thickBot="1">
      <c r="A121" s="484"/>
      <c r="B121" s="466"/>
      <c r="C121" s="491"/>
      <c r="D121" s="467"/>
      <c r="E121" s="467"/>
      <c r="F121" s="467"/>
      <c r="G121" s="467"/>
      <c r="H121" s="467"/>
      <c r="I121" s="467"/>
      <c r="J121" s="467"/>
      <c r="K121" s="467"/>
      <c r="L121" s="467"/>
      <c r="M121" s="467"/>
      <c r="N121" s="877"/>
      <c r="O121" s="877"/>
      <c r="P121" s="1770"/>
      <c r="Q121" s="490"/>
    </row>
    <row r="122" spans="1:17" ht="15" thickTop="1">
      <c r="A122" s="409"/>
      <c r="B122" s="469" t="s">
        <v>1744</v>
      </c>
      <c r="C122" s="3179" t="s">
        <v>3508</v>
      </c>
      <c r="D122" s="3179" t="s">
        <v>3502</v>
      </c>
      <c r="E122" s="3179" t="s">
        <v>3509</v>
      </c>
      <c r="F122" s="513"/>
      <c r="G122" s="513"/>
      <c r="H122" s="513"/>
      <c r="I122" s="513"/>
      <c r="J122" s="513"/>
      <c r="K122" s="514"/>
      <c r="L122" s="515"/>
      <c r="M122" s="516"/>
      <c r="N122" s="875"/>
      <c r="O122" s="875"/>
      <c r="P122" s="1769"/>
      <c r="Q122" s="439"/>
    </row>
    <row r="123" spans="1:17" ht="15.75" thickBot="1">
      <c r="A123" s="367"/>
      <c r="B123" s="474"/>
      <c r="C123" s="475">
        <v>100</v>
      </c>
      <c r="D123" s="475">
        <f t="shared" ref="D123:M123" si="34">C123-$K42</f>
        <v>100</v>
      </c>
      <c r="E123" s="475">
        <f t="shared" si="34"/>
        <v>100</v>
      </c>
      <c r="F123" s="475">
        <f t="shared" si="34"/>
        <v>100</v>
      </c>
      <c r="G123" s="475">
        <f t="shared" si="34"/>
        <v>100</v>
      </c>
      <c r="H123" s="475">
        <f t="shared" si="34"/>
        <v>100</v>
      </c>
      <c r="I123" s="475">
        <f t="shared" si="34"/>
        <v>100</v>
      </c>
      <c r="J123" s="475">
        <f t="shared" si="34"/>
        <v>100</v>
      </c>
      <c r="K123" s="475">
        <f t="shared" si="34"/>
        <v>100</v>
      </c>
      <c r="L123" s="475">
        <f t="shared" si="34"/>
        <v>100</v>
      </c>
      <c r="M123" s="475">
        <f t="shared" si="34"/>
        <v>100</v>
      </c>
      <c r="N123" s="876"/>
      <c r="O123" s="876"/>
      <c r="P123" s="1769"/>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69"/>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0"/>
      <c r="Q126" s="490"/>
    </row>
    <row r="127" spans="1:17" s="408" customFormat="1" ht="15.75" thickBot="1">
      <c r="A127" s="484"/>
      <c r="B127" s="474"/>
      <c r="C127" s="491"/>
      <c r="D127" s="467"/>
      <c r="E127" s="467"/>
      <c r="F127" s="467"/>
      <c r="G127" s="491"/>
      <c r="H127" s="493"/>
      <c r="I127" s="493"/>
      <c r="J127" s="493"/>
      <c r="K127" s="493"/>
      <c r="L127" s="493"/>
      <c r="M127" s="494"/>
      <c r="N127" s="877"/>
      <c r="O127" s="877"/>
      <c r="P127" s="1770"/>
      <c r="Q127" s="490"/>
    </row>
    <row r="128" spans="1:17" ht="15" thickTop="1">
      <c r="A128" s="409"/>
      <c r="B128" s="469">
        <f>B45</f>
        <v>111</v>
      </c>
      <c r="C128" s="485"/>
      <c r="D128" s="485"/>
      <c r="E128" s="485"/>
      <c r="F128" s="485"/>
      <c r="G128" s="513"/>
      <c r="H128" s="513"/>
      <c r="I128" s="513"/>
      <c r="J128" s="513"/>
      <c r="K128" s="514"/>
      <c r="L128" s="515"/>
      <c r="M128" s="516"/>
      <c r="N128" s="875"/>
      <c r="O128" s="875"/>
      <c r="P128" s="1769"/>
      <c r="Q128" s="439"/>
    </row>
    <row r="129" spans="1:17" ht="15.75" thickBot="1">
      <c r="A129" s="367"/>
      <c r="B129" s="474"/>
      <c r="C129" s="491"/>
      <c r="D129" s="491"/>
      <c r="E129" s="491"/>
      <c r="F129" s="491"/>
      <c r="G129" s="467"/>
      <c r="H129" s="467"/>
      <c r="I129" s="467"/>
      <c r="J129" s="467"/>
      <c r="K129" s="467"/>
      <c r="L129" s="467"/>
      <c r="M129" s="468"/>
      <c r="N129" s="876"/>
      <c r="O129" s="876"/>
      <c r="P129" s="1769"/>
      <c r="Q129" s="439"/>
    </row>
    <row r="130" spans="1:17" ht="15" thickTop="1">
      <c r="A130" s="409"/>
      <c r="B130" s="477">
        <f>B46</f>
        <v>111</v>
      </c>
      <c r="C130" s="485"/>
      <c r="D130" s="485"/>
      <c r="E130" s="485"/>
      <c r="F130" s="485"/>
      <c r="G130" s="517"/>
      <c r="H130" s="517"/>
      <c r="I130" s="517"/>
      <c r="J130" s="517"/>
      <c r="K130" s="31"/>
      <c r="L130" s="457"/>
      <c r="M130" s="520"/>
      <c r="N130" s="875"/>
      <c r="O130" s="875"/>
      <c r="P130" s="1769"/>
      <c r="Q130" s="439"/>
    </row>
    <row r="131" spans="1:17" ht="15.75" thickBot="1">
      <c r="A131" s="375"/>
      <c r="B131" s="500"/>
      <c r="C131" s="501"/>
      <c r="D131" s="501"/>
      <c r="E131" s="501"/>
      <c r="F131" s="501"/>
      <c r="G131" s="521"/>
      <c r="H131" s="521"/>
      <c r="I131" s="521"/>
      <c r="J131" s="521"/>
      <c r="K131" s="521"/>
      <c r="L131" s="521"/>
      <c r="M131" s="522"/>
      <c r="N131" s="876"/>
      <c r="O131" s="876"/>
      <c r="P131" s="1769"/>
      <c r="Q131" s="439"/>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9" t="s">
        <v>1749</v>
      </c>
      <c r="D138" s="129" t="s">
        <v>1750</v>
      </c>
      <c r="E138" s="1783" t="s">
        <v>1751</v>
      </c>
      <c r="F138" s="1784" t="s">
        <v>1752</v>
      </c>
      <c r="G138" s="129" t="s">
        <v>1750</v>
      </c>
      <c r="H138" s="130" t="s">
        <v>1751</v>
      </c>
      <c r="I138" s="1785"/>
      <c r="J138" s="129" t="s">
        <v>1753</v>
      </c>
      <c r="K138" s="130"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3">
        <f>ROUNDUP((J139-1)/2,0)</f>
        <v>10</v>
      </c>
      <c r="K140" s="821">
        <v>100</v>
      </c>
    </row>
    <row r="141" spans="1:17" ht="15">
      <c r="B141" s="816">
        <v>4</v>
      </c>
      <c r="C141" s="817">
        <v>102</v>
      </c>
      <c r="D141" s="817"/>
      <c r="E141" s="818"/>
      <c r="F141" s="819">
        <v>101.5</v>
      </c>
      <c r="G141" s="817"/>
      <c r="H141" s="820"/>
      <c r="I141" s="1788" t="s">
        <v>1758</v>
      </c>
      <c r="J141" s="263">
        <v>1</v>
      </c>
      <c r="K141" s="822">
        <f>ROUND(100+(J141-J140)*K139*100,1)</f>
        <v>96.4</v>
      </c>
    </row>
    <row r="142" spans="1:17" ht="15">
      <c r="B142" s="816">
        <v>3</v>
      </c>
      <c r="C142" s="817">
        <v>103</v>
      </c>
      <c r="D142" s="817"/>
      <c r="E142" s="818"/>
      <c r="F142" s="819">
        <v>101</v>
      </c>
      <c r="G142" s="817"/>
      <c r="H142" s="820"/>
      <c r="I142" s="1788" t="s">
        <v>1759</v>
      </c>
      <c r="J142" s="263">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G32 I32" xr:uid="{00000000-0002-0000-1900-000006000000}">
      <formula1>住宅建筑类型</formula1>
    </dataValidation>
    <dataValidation type="list" allowBlank="1" showInputMessage="1" showErrorMessage="1" sqref="C34 E34 G34 I34" xr:uid="{00000000-0002-0000-1900-000007000000}">
      <formula1>住宅建筑结构</formula1>
    </dataValidation>
    <dataValidation type="list" allowBlank="1" showInputMessage="1" showErrorMessage="1" sqref="C35 E35 G35 I35" xr:uid="{00000000-0002-0000-1900-000008000000}">
      <formula1>住宅建筑品质</formula1>
    </dataValidation>
    <dataValidation type="list" allowBlank="1" showInputMessage="1" showErrorMessage="1" sqref="C36 E36 G36 I36" xr:uid="{00000000-0002-0000-1900-000009000000}">
      <formula1>住宅公共部分装修</formula1>
    </dataValidation>
    <dataValidation type="list" allowBlank="1" showInputMessage="1" showErrorMessage="1" sqref="C38 E38 G38 I38" xr:uid="{00000000-0002-0000-1900-00000A000000}">
      <formula1>住宅物业管理</formula1>
    </dataValidation>
    <dataValidation type="list" allowBlank="1" showInputMessage="1" showErrorMessage="1" sqref="C39 E39 G39 I39" xr:uid="{00000000-0002-0000-1900-00000B000000}">
      <formula1>住宅基础设施水平</formula1>
    </dataValidation>
    <dataValidation type="list" allowBlank="1" showInputMessage="1" showErrorMessage="1" sqref="C40 E40 G40 I40" xr:uid="{00000000-0002-0000-1900-00000C000000}">
      <formula1>住宅房型</formula1>
    </dataValidation>
    <dataValidation type="list" allowBlank="1" showInputMessage="1" showErrorMessage="1" sqref="C42 E42 G42 I42" xr:uid="{00000000-0002-0000-1900-00000D000000}">
      <formula1>住宅内部装修</formula1>
    </dataValidation>
    <dataValidation type="list" allowBlank="1" showInputMessage="1" showErrorMessage="1" sqref="C43 E43 G43 I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1766</v>
      </c>
      <c r="C1" s="1151" t="s">
        <v>1662</v>
      </c>
      <c r="D1" s="1138"/>
      <c r="E1" s="3116"/>
      <c r="F1" s="1731"/>
      <c r="G1" s="1148" t="s">
        <v>1767</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1462</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1798"/>
      <c r="Q2" s="855"/>
      <c r="R2" s="855"/>
      <c r="S2" s="855"/>
      <c r="T2" s="855"/>
      <c r="U2" s="855"/>
      <c r="V2" s="855"/>
      <c r="W2" s="855"/>
      <c r="X2" s="855"/>
      <c r="Y2" s="855"/>
      <c r="Z2" s="855"/>
      <c r="AA2" s="855"/>
      <c r="AB2" s="855"/>
      <c r="AC2" s="1799"/>
    </row>
    <row r="3" spans="1:29" s="342" customFormat="1" ht="28.5" customHeight="1" thickBot="1">
      <c r="A3" s="195" t="s">
        <v>1464</v>
      </c>
      <c r="B3" s="536">
        <f>IF(C2="——",C49,ROUND(B2*10000/D3,0))</f>
        <v>0</v>
      </c>
      <c r="C3" s="344" t="s">
        <v>1768</v>
      </c>
      <c r="D3" s="343">
        <f>IF(D1="",'数据-汇总表'!E3,SUMIF('数据-汇总表'!$C19:$C33,D1,'数据-汇总表'!$E19:$E33))</f>
        <v>154.79</v>
      </c>
      <c r="E3" s="1799"/>
      <c r="F3" s="852"/>
      <c r="G3" s="851"/>
      <c r="H3" s="851"/>
      <c r="I3" s="851"/>
      <c r="J3" s="851"/>
      <c r="K3" s="853"/>
      <c r="L3" s="2496"/>
      <c r="M3" s="2497"/>
      <c r="N3" s="2497"/>
      <c r="O3" s="2497"/>
      <c r="P3" s="1798"/>
      <c r="Q3" s="855"/>
      <c r="R3" s="855"/>
      <c r="S3" s="855"/>
      <c r="T3" s="855"/>
      <c r="U3" s="855"/>
      <c r="V3" s="855"/>
      <c r="W3" s="855"/>
      <c r="X3" s="855"/>
      <c r="Y3" s="855"/>
      <c r="Z3" s="855"/>
      <c r="AA3" s="855"/>
      <c r="AB3" s="855"/>
      <c r="AC3" s="1799"/>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19" t="s">
        <v>1775</v>
      </c>
      <c r="Q4" s="3420"/>
      <c r="R4" s="3425" t="s">
        <v>1771</v>
      </c>
      <c r="S4" s="3426"/>
      <c r="T4" s="3425" t="s">
        <v>1772</v>
      </c>
      <c r="U4" s="3426"/>
      <c r="V4" s="3401" t="s">
        <v>1773</v>
      </c>
      <c r="W4" s="3401"/>
      <c r="X4" s="1261"/>
      <c r="Y4" s="3425" t="s">
        <v>1775</v>
      </c>
      <c r="Z4" s="3426"/>
      <c r="AA4" s="3412" t="s">
        <v>1771</v>
      </c>
      <c r="AB4" s="3401" t="s">
        <v>1772</v>
      </c>
      <c r="AC4" s="3412" t="s">
        <v>1773</v>
      </c>
    </row>
    <row r="5" spans="1:29" ht="15">
      <c r="A5" s="348"/>
      <c r="B5" s="349"/>
      <c r="C5" s="3442" t="s">
        <v>1673</v>
      </c>
      <c r="D5" s="3439"/>
      <c r="E5" s="3443" t="s">
        <v>1674</v>
      </c>
      <c r="F5" s="3434"/>
      <c r="G5" s="3442" t="s">
        <v>1675</v>
      </c>
      <c r="H5" s="3439"/>
      <c r="I5" s="3442" t="s">
        <v>1676</v>
      </c>
      <c r="J5" s="3439"/>
      <c r="K5" s="537"/>
      <c r="L5" s="2479"/>
      <c r="M5" s="2480"/>
      <c r="N5" s="2480"/>
      <c r="O5" s="2480"/>
      <c r="P5" s="3421"/>
      <c r="Q5" s="3422"/>
      <c r="R5" s="3427"/>
      <c r="S5" s="3428"/>
      <c r="T5" s="3427"/>
      <c r="U5" s="3428"/>
      <c r="V5" s="3401"/>
      <c r="W5" s="3401"/>
      <c r="X5" s="1261"/>
      <c r="Y5" s="3427"/>
      <c r="Z5" s="3428"/>
      <c r="AA5" s="3413"/>
      <c r="AB5" s="3401"/>
      <c r="AC5" s="3413"/>
    </row>
    <row r="6" spans="1:29" ht="15.75" thickBot="1">
      <c r="A6" s="350"/>
      <c r="B6" s="351"/>
      <c r="C6" s="3431" t="s">
        <v>1677</v>
      </c>
      <c r="D6" s="3432"/>
      <c r="E6" s="3440" t="s">
        <v>1677</v>
      </c>
      <c r="F6" s="3441"/>
      <c r="G6" s="3431" t="s">
        <v>1677</v>
      </c>
      <c r="H6" s="3432"/>
      <c r="I6" s="3431" t="s">
        <v>1677</v>
      </c>
      <c r="J6" s="3432"/>
      <c r="K6" s="537" t="s">
        <v>1678</v>
      </c>
      <c r="L6" s="2479"/>
      <c r="M6" s="2480"/>
      <c r="N6" s="2480"/>
      <c r="O6" s="2480"/>
      <c r="P6" s="3423"/>
      <c r="Q6" s="3424"/>
      <c r="R6" s="3427"/>
      <c r="S6" s="3428"/>
      <c r="T6" s="3429"/>
      <c r="U6" s="3430"/>
      <c r="V6" s="3401"/>
      <c r="W6" s="3401"/>
      <c r="X6" s="1261"/>
      <c r="Y6" s="3429"/>
      <c r="Z6" s="3430"/>
      <c r="AA6" s="3414"/>
      <c r="AB6" s="3401"/>
      <c r="AC6" s="3414"/>
    </row>
    <row r="7" spans="1:29" s="102" customFormat="1" ht="15.75" thickBot="1">
      <c r="A7" s="352" t="s">
        <v>1679</v>
      </c>
      <c r="B7" s="353"/>
      <c r="C7" s="354">
        <f>'数据-取费表'!B2</f>
        <v>45940</v>
      </c>
      <c r="D7" s="355">
        <v>100</v>
      </c>
      <c r="E7" s="356"/>
      <c r="F7" s="357">
        <f>SUMIF(58:58,YEAR(E7)&amp;"-"&amp;MONTH(E7),59:59)</f>
        <v>0</v>
      </c>
      <c r="G7" s="356"/>
      <c r="H7" s="355">
        <f>SUMIF(58:58,YEAR(G7)&amp;"-"&amp;MONTH(G7),59:59)</f>
        <v>0</v>
      </c>
      <c r="I7" s="356"/>
      <c r="J7" s="355">
        <f>SUMIF(58:58,YEAR(I7)&amp;"-"&amp;MONTH(I7),59:59)</f>
        <v>0</v>
      </c>
      <c r="K7" s="38"/>
      <c r="L7" s="2481"/>
      <c r="M7" s="2432"/>
      <c r="N7" s="2432"/>
      <c r="O7" s="2432"/>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11"/>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99.75">
      <c r="A15" s="379" t="s">
        <v>1690</v>
      </c>
      <c r="B15" s="58" t="s">
        <v>1777</v>
      </c>
      <c r="C15" s="1746"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09" t="s">
        <v>1691</v>
      </c>
      <c r="Q15" s="1259" t="str">
        <f t="shared" si="6"/>
        <v>商业繁华度</v>
      </c>
      <c r="R15" s="667" t="s">
        <v>14</v>
      </c>
      <c r="S15" s="668">
        <f t="shared" si="0"/>
        <v>100</v>
      </c>
      <c r="T15" s="667" t="s">
        <v>14</v>
      </c>
      <c r="U15" s="668">
        <f t="shared" si="1"/>
        <v>100</v>
      </c>
      <c r="V15" s="667" t="s">
        <v>14</v>
      </c>
      <c r="W15" s="668">
        <f t="shared" si="2"/>
        <v>100</v>
      </c>
      <c r="X15" s="1261"/>
      <c r="Y15" s="3402" t="s">
        <v>1691</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5"/>
      <c r="M16" s="2480"/>
      <c r="N16" s="2480"/>
      <c r="O16" s="2480"/>
      <c r="P16" s="3410"/>
      <c r="Q16" s="1259"/>
      <c r="R16" s="667"/>
      <c r="S16" s="668"/>
      <c r="T16" s="667"/>
      <c r="U16" s="668"/>
      <c r="V16" s="667"/>
      <c r="W16" s="668"/>
      <c r="X16" s="1261"/>
      <c r="Y16" s="3403"/>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10"/>
      <c r="Q17" s="1259" t="str">
        <f>B17</f>
        <v>交通便捷度</v>
      </c>
      <c r="R17" s="667" t="s">
        <v>14</v>
      </c>
      <c r="S17" s="668">
        <f>F17</f>
        <v>100</v>
      </c>
      <c r="T17" s="667" t="s">
        <v>14</v>
      </c>
      <c r="U17" s="668">
        <f>H17</f>
        <v>100</v>
      </c>
      <c r="V17" s="667" t="s">
        <v>14</v>
      </c>
      <c r="W17" s="668">
        <f>J17</f>
        <v>100</v>
      </c>
      <c r="X17" s="1261"/>
      <c r="Y17" s="340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5"/>
      <c r="M18" s="2480"/>
      <c r="N18" s="2480"/>
      <c r="O18" s="2480"/>
      <c r="P18" s="3410"/>
      <c r="Q18" s="1259"/>
      <c r="R18" s="667"/>
      <c r="S18" s="668"/>
      <c r="T18" s="667"/>
      <c r="U18" s="668"/>
      <c r="V18" s="667"/>
      <c r="W18" s="668"/>
      <c r="X18" s="1261"/>
      <c r="Y18" s="3403"/>
      <c r="Z18" s="1260"/>
      <c r="AA18" s="1260">
        <v>1</v>
      </c>
      <c r="AB18" s="1260">
        <v>1</v>
      </c>
      <c r="AC18" s="1260">
        <v>1</v>
      </c>
    </row>
    <row r="19" spans="1:29" ht="327.75">
      <c r="A19" s="367"/>
      <c r="B19" s="390" t="s">
        <v>1778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10"/>
      <c r="Q19" s="1259" t="str">
        <f>B19</f>
        <v>公共配套设施</v>
      </c>
      <c r="R19" s="667" t="s">
        <v>14</v>
      </c>
      <c r="S19" s="668">
        <f>F19</f>
        <v>100</v>
      </c>
      <c r="T19" s="667" t="s">
        <v>14</v>
      </c>
      <c r="U19" s="668">
        <f>H19</f>
        <v>100</v>
      </c>
      <c r="V19" s="667" t="s">
        <v>14</v>
      </c>
      <c r="W19" s="668">
        <f>J19</f>
        <v>100</v>
      </c>
      <c r="X19" s="1261"/>
      <c r="Y19" s="340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5"/>
      <c r="M20" s="2480"/>
      <c r="N20" s="2480"/>
      <c r="O20" s="2480"/>
      <c r="P20" s="3410"/>
      <c r="Q20" s="1259"/>
      <c r="R20" s="667"/>
      <c r="S20" s="668"/>
      <c r="T20" s="667"/>
      <c r="U20" s="668"/>
      <c r="V20" s="667"/>
      <c r="W20" s="668"/>
      <c r="X20" s="1261"/>
      <c r="Y20" s="3403"/>
      <c r="Z20" s="1260"/>
      <c r="AA20" s="1260">
        <v>1</v>
      </c>
      <c r="AB20" s="1260">
        <v>1</v>
      </c>
      <c r="AC20" s="1260">
        <v>1</v>
      </c>
    </row>
    <row r="21" spans="1:29" ht="28.5">
      <c r="A21" s="367"/>
      <c r="B21" s="586" t="s">
        <v>1779</v>
      </c>
      <c r="C21" s="1750"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10"/>
      <c r="Q21" s="1259" t="str">
        <f>B21</f>
        <v>基础设施水平</v>
      </c>
      <c r="R21" s="667" t="s">
        <v>14</v>
      </c>
      <c r="S21" s="668">
        <f>F21</f>
        <v>100</v>
      </c>
      <c r="T21" s="667" t="s">
        <v>14</v>
      </c>
      <c r="U21" s="668">
        <f>H21</f>
        <v>100</v>
      </c>
      <c r="V21" s="667" t="s">
        <v>14</v>
      </c>
      <c r="W21" s="668">
        <f>J21</f>
        <v>100</v>
      </c>
      <c r="X21" s="1261"/>
      <c r="Y21" s="340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5"/>
      <c r="M22" s="2480"/>
      <c r="N22" s="2480"/>
      <c r="O22" s="2480"/>
      <c r="P22" s="3410"/>
      <c r="Q22" s="1259"/>
      <c r="R22" s="667"/>
      <c r="S22" s="668"/>
      <c r="T22" s="667"/>
      <c r="U22" s="668"/>
      <c r="V22" s="667"/>
      <c r="W22" s="668"/>
      <c r="X22" s="1261"/>
      <c r="Y22" s="3403"/>
      <c r="Z22" s="1260"/>
      <c r="AA22" s="1260">
        <v>1</v>
      </c>
      <c r="AB22" s="1260">
        <v>1</v>
      </c>
      <c r="AC22" s="1260">
        <v>1</v>
      </c>
    </row>
    <row r="23" spans="1:29" ht="114">
      <c r="A23" s="367"/>
      <c r="B23" s="390" t="s">
        <v>1261</v>
      </c>
      <c r="C23" s="1800" t="str">
        <f>估价对象房地状况!C9</f>
        <v>估价对象周边有河南省体育场馆中心、郑州海洋馆等人文景观，东风渠水系等自然景观，综合评价环境状况较好。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10"/>
      <c r="Q23" s="1259" t="str">
        <f>B23</f>
        <v>自然及人文环境</v>
      </c>
      <c r="R23" s="667" t="s">
        <v>14</v>
      </c>
      <c r="S23" s="668">
        <f>F23</f>
        <v>100</v>
      </c>
      <c r="T23" s="667" t="s">
        <v>14</v>
      </c>
      <c r="U23" s="668">
        <f>H23</f>
        <v>100</v>
      </c>
      <c r="V23" s="667" t="s">
        <v>14</v>
      </c>
      <c r="W23" s="668">
        <f>J23</f>
        <v>100</v>
      </c>
      <c r="X23" s="1261"/>
      <c r="Y23" s="3403"/>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5"/>
      <c r="M24" s="2480"/>
      <c r="N24" s="2480"/>
      <c r="O24" s="2480"/>
      <c r="P24" s="3410"/>
      <c r="Q24" s="1259"/>
      <c r="R24" s="667"/>
      <c r="S24" s="668"/>
      <c r="T24" s="667"/>
      <c r="U24" s="668"/>
      <c r="V24" s="667"/>
      <c r="W24" s="668"/>
      <c r="X24" s="1261"/>
      <c r="Y24" s="3403"/>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10"/>
      <c r="Q25" s="1259" t="str">
        <f t="shared" ref="Q25:Q46" si="11">B25</f>
        <v>临街状况</v>
      </c>
      <c r="R25" s="667" t="s">
        <v>14</v>
      </c>
      <c r="S25" s="668">
        <f>F25</f>
        <v>100</v>
      </c>
      <c r="T25" s="667" t="s">
        <v>14</v>
      </c>
      <c r="U25" s="668">
        <f>H25</f>
        <v>100</v>
      </c>
      <c r="V25" s="667" t="s">
        <v>14</v>
      </c>
      <c r="W25" s="668">
        <f>J25</f>
        <v>100</v>
      </c>
      <c r="X25" s="1261"/>
      <c r="Y25" s="3403"/>
      <c r="Z25" s="1260" t="str">
        <f>Q25</f>
        <v>临街状况</v>
      </c>
      <c r="AA25" s="1260">
        <f t="shared" si="3"/>
        <v>1</v>
      </c>
      <c r="AB25" s="1260">
        <f t="shared" si="4"/>
        <v>1</v>
      </c>
      <c r="AC25" s="1260">
        <f t="shared" si="5"/>
        <v>1</v>
      </c>
    </row>
    <row r="26" spans="1:29" ht="15">
      <c r="A26" s="367"/>
      <c r="B26" s="1062"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10"/>
      <c r="Q26" s="1259" t="str">
        <f t="shared" si="11"/>
        <v>平面位置/可视性</v>
      </c>
      <c r="R26" s="667" t="s">
        <v>14</v>
      </c>
      <c r="S26" s="668">
        <f>F26</f>
        <v>100</v>
      </c>
      <c r="T26" s="667" t="s">
        <v>14</v>
      </c>
      <c r="U26" s="668">
        <f>H26</f>
        <v>100</v>
      </c>
      <c r="V26" s="667" t="s">
        <v>14</v>
      </c>
      <c r="W26" s="668">
        <f>J26</f>
        <v>100</v>
      </c>
      <c r="X26" s="1261"/>
      <c r="Y26" s="3403"/>
      <c r="Z26" s="1260" t="str">
        <f>Q26</f>
        <v>平面位置/可视性</v>
      </c>
      <c r="AA26" s="1260">
        <f t="shared" si="3"/>
        <v>1</v>
      </c>
      <c r="AB26" s="1260">
        <f t="shared" si="4"/>
        <v>1</v>
      </c>
      <c r="AC26" s="1260">
        <f t="shared" si="5"/>
        <v>1</v>
      </c>
    </row>
    <row r="27" spans="1:29" s="102" customFormat="1" ht="15">
      <c r="A27" s="370"/>
      <c r="B27" s="390" t="s">
        <v>1782</v>
      </c>
      <c r="C27" s="1801"/>
      <c r="D27" s="401">
        <v>100</v>
      </c>
      <c r="E27" s="1801"/>
      <c r="F27" s="395">
        <f>SUMIF(90:90,E27,91:91)-SUMIF(90:90,C27,91:91)+100</f>
        <v>100</v>
      </c>
      <c r="G27" s="1801"/>
      <c r="H27" s="401">
        <f>SUMIF(90:90,G27,91:91)-SUMIF(90:90,C27,91:91)+100</f>
        <v>100</v>
      </c>
      <c r="I27" s="1801"/>
      <c r="J27" s="401">
        <f>SUMIF(90:90,I27,91:91)-SUMIF(90:90,C27,91:91)+100</f>
        <v>100</v>
      </c>
      <c r="K27" s="538"/>
      <c r="L27" s="2481"/>
      <c r="M27" s="2432"/>
      <c r="N27" s="2432"/>
      <c r="O27" s="2432"/>
      <c r="P27" s="3410"/>
      <c r="Q27" s="530" t="str">
        <f t="shared" si="11"/>
        <v>人流量</v>
      </c>
      <c r="R27" s="664" t="s">
        <v>14</v>
      </c>
      <c r="S27" s="665">
        <f>F27</f>
        <v>100</v>
      </c>
      <c r="T27" s="664" t="s">
        <v>14</v>
      </c>
      <c r="U27" s="665">
        <f>H27</f>
        <v>100</v>
      </c>
      <c r="V27" s="664" t="s">
        <v>14</v>
      </c>
      <c r="W27" s="665">
        <f>J27</f>
        <v>100</v>
      </c>
      <c r="X27" s="666"/>
      <c r="Y27" s="3403"/>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10"/>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03"/>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0"/>
      <c r="Q29" s="1259">
        <f t="shared" si="11"/>
        <v>111</v>
      </c>
      <c r="R29" s="667" t="s">
        <v>14</v>
      </c>
      <c r="S29" s="668">
        <f t="shared" si="12"/>
        <v>100</v>
      </c>
      <c r="T29" s="667" t="s">
        <v>14</v>
      </c>
      <c r="U29" s="668">
        <f t="shared" si="13"/>
        <v>100</v>
      </c>
      <c r="V29" s="667" t="s">
        <v>14</v>
      </c>
      <c r="W29" s="668">
        <f t="shared" si="14"/>
        <v>100</v>
      </c>
      <c r="X29" s="1261"/>
      <c r="Y29" s="3403"/>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0"/>
      <c r="Q30" s="1259">
        <f t="shared" si="11"/>
        <v>111</v>
      </c>
      <c r="R30" s="667" t="s">
        <v>14</v>
      </c>
      <c r="S30" s="668">
        <f t="shared" si="12"/>
        <v>100</v>
      </c>
      <c r="T30" s="667" t="s">
        <v>14</v>
      </c>
      <c r="U30" s="668">
        <f t="shared" si="13"/>
        <v>100</v>
      </c>
      <c r="V30" s="667" t="s">
        <v>14</v>
      </c>
      <c r="W30" s="668">
        <f t="shared" si="14"/>
        <v>100</v>
      </c>
      <c r="X30" s="1261"/>
      <c r="Y30" s="3403"/>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0"/>
      <c r="Q31" s="1259">
        <f t="shared" si="11"/>
        <v>111</v>
      </c>
      <c r="R31" s="667" t="s">
        <v>14</v>
      </c>
      <c r="S31" s="668">
        <f t="shared" si="12"/>
        <v>100</v>
      </c>
      <c r="T31" s="667" t="s">
        <v>14</v>
      </c>
      <c r="U31" s="668">
        <f t="shared" si="13"/>
        <v>100</v>
      </c>
      <c r="V31" s="667" t="s">
        <v>14</v>
      </c>
      <c r="W31" s="668">
        <f t="shared" si="14"/>
        <v>100</v>
      </c>
      <c r="X31" s="1261"/>
      <c r="Y31" s="3403"/>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5"/>
      <c r="M32" s="2480"/>
      <c r="N32" s="2480"/>
      <c r="O32" s="2480"/>
      <c r="P32" s="3404" t="s">
        <v>1696</v>
      </c>
      <c r="Q32" s="1259" t="str">
        <f t="shared" si="11"/>
        <v>商业类型</v>
      </c>
      <c r="R32" s="667" t="s">
        <v>14</v>
      </c>
      <c r="S32" s="668">
        <f t="shared" si="12"/>
        <v>100</v>
      </c>
      <c r="T32" s="667" t="s">
        <v>14</v>
      </c>
      <c r="U32" s="668">
        <f t="shared" si="13"/>
        <v>100</v>
      </c>
      <c r="V32" s="667" t="s">
        <v>14</v>
      </c>
      <c r="W32" s="668">
        <f t="shared" si="14"/>
        <v>100</v>
      </c>
      <c r="X32" s="1261"/>
      <c r="Y32" s="3407"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05"/>
      <c r="Q34" s="1259" t="str">
        <f t="shared" si="11"/>
        <v>建筑结构</v>
      </c>
      <c r="R34" s="667" t="s">
        <v>14</v>
      </c>
      <c r="S34" s="668">
        <f t="shared" si="12"/>
        <v>100</v>
      </c>
      <c r="T34" s="667" t="s">
        <v>14</v>
      </c>
      <c r="U34" s="668">
        <f t="shared" si="13"/>
        <v>100</v>
      </c>
      <c r="V34" s="667" t="s">
        <v>14</v>
      </c>
      <c r="W34" s="668">
        <f t="shared" si="14"/>
        <v>100</v>
      </c>
      <c r="X34" s="1261"/>
      <c r="Y34" s="3407"/>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5"/>
      <c r="M35" s="2480"/>
      <c r="N35" s="2480"/>
      <c r="O35" s="2480"/>
      <c r="P35" s="3405"/>
      <c r="Q35" s="1259" t="str">
        <f t="shared" si="11"/>
        <v>公共部分装修</v>
      </c>
      <c r="R35" s="667" t="s">
        <v>14</v>
      </c>
      <c r="S35" s="668">
        <f t="shared" si="12"/>
        <v>100</v>
      </c>
      <c r="T35" s="667" t="s">
        <v>14</v>
      </c>
      <c r="U35" s="668">
        <f t="shared" si="13"/>
        <v>100</v>
      </c>
      <c r="V35" s="667" t="s">
        <v>14</v>
      </c>
      <c r="W35" s="668">
        <f t="shared" si="14"/>
        <v>100</v>
      </c>
      <c r="X35" s="1261"/>
      <c r="Y35" s="3407"/>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05"/>
      <c r="Q36" s="1259" t="str">
        <f t="shared" si="11"/>
        <v>成新度</v>
      </c>
      <c r="R36" s="667" t="s">
        <v>14</v>
      </c>
      <c r="S36" s="668" t="e">
        <f t="shared" si="12"/>
        <v>#N/A</v>
      </c>
      <c r="T36" s="667" t="s">
        <v>14</v>
      </c>
      <c r="U36" s="668" t="e">
        <f t="shared" si="13"/>
        <v>#N/A</v>
      </c>
      <c r="V36" s="667" t="s">
        <v>14</v>
      </c>
      <c r="W36" s="668" t="e">
        <f t="shared" si="14"/>
        <v>#N/A</v>
      </c>
      <c r="X36" s="1261"/>
      <c r="Y36" s="3407"/>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1"/>
      <c r="M37" s="2432"/>
      <c r="N37" s="2432"/>
      <c r="O37" s="2432"/>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5"/>
      <c r="M38" s="2480"/>
      <c r="N38" s="2480"/>
      <c r="O38" s="2480"/>
      <c r="P38" s="3405" t="s">
        <v>1696</v>
      </c>
      <c r="Q38" s="1259" t="str">
        <f t="shared" si="11"/>
        <v>业态</v>
      </c>
      <c r="R38" s="667" t="s">
        <v>14</v>
      </c>
      <c r="S38" s="668">
        <f t="shared" si="12"/>
        <v>100</v>
      </c>
      <c r="T38" s="667" t="s">
        <v>14</v>
      </c>
      <c r="U38" s="668">
        <f t="shared" si="13"/>
        <v>100</v>
      </c>
      <c r="V38" s="667" t="s">
        <v>14</v>
      </c>
      <c r="W38" s="668">
        <f t="shared" si="14"/>
        <v>100</v>
      </c>
      <c r="X38" s="1261"/>
      <c r="Y38" s="3407"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5"/>
      <c r="M39" s="2480"/>
      <c r="N39" s="2480"/>
      <c r="O39" s="2480"/>
      <c r="P39" s="3405"/>
      <c r="Q39" s="1259" t="str">
        <f t="shared" si="11"/>
        <v>层高</v>
      </c>
      <c r="R39" s="667" t="s">
        <v>14</v>
      </c>
      <c r="S39" s="668">
        <f t="shared" si="12"/>
        <v>100</v>
      </c>
      <c r="T39" s="667" t="s">
        <v>14</v>
      </c>
      <c r="U39" s="668">
        <f t="shared" si="13"/>
        <v>100</v>
      </c>
      <c r="V39" s="667" t="s">
        <v>14</v>
      </c>
      <c r="W39" s="668">
        <f t="shared" si="14"/>
        <v>100</v>
      </c>
      <c r="X39" s="1261"/>
      <c r="Y39" s="3407"/>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05"/>
      <c r="Q40" s="1259" t="str">
        <f t="shared" si="11"/>
        <v>单套建筑面积</v>
      </c>
      <c r="R40" s="667" t="s">
        <v>14</v>
      </c>
      <c r="S40" s="668">
        <f t="shared" si="12"/>
        <v>100</v>
      </c>
      <c r="T40" s="667" t="s">
        <v>14</v>
      </c>
      <c r="U40" s="668">
        <f t="shared" si="13"/>
        <v>100</v>
      </c>
      <c r="V40" s="667" t="s">
        <v>14</v>
      </c>
      <c r="W40" s="668">
        <f t="shared" si="14"/>
        <v>100</v>
      </c>
      <c r="X40" s="1261"/>
      <c r="Y40" s="3407"/>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5"/>
      <c r="M42" s="2480"/>
      <c r="N42" s="2480"/>
      <c r="O42" s="2480"/>
      <c r="P42" s="3405"/>
      <c r="Q42" s="1259" t="str">
        <f t="shared" si="11"/>
        <v>内部装修</v>
      </c>
      <c r="R42" s="667" t="s">
        <v>14</v>
      </c>
      <c r="S42" s="668">
        <f t="shared" si="12"/>
        <v>100</v>
      </c>
      <c r="T42" s="667" t="s">
        <v>14</v>
      </c>
      <c r="U42" s="668">
        <f t="shared" si="13"/>
        <v>100</v>
      </c>
      <c r="V42" s="667" t="s">
        <v>14</v>
      </c>
      <c r="W42" s="668">
        <f t="shared" si="14"/>
        <v>100</v>
      </c>
      <c r="X42" s="1261"/>
      <c r="Y42" s="3407"/>
      <c r="Z42" s="1260" t="str">
        <f t="shared" si="15"/>
        <v>内部装修</v>
      </c>
      <c r="AA42" s="1260">
        <f t="shared" si="3"/>
        <v>1</v>
      </c>
      <c r="AB42" s="1260">
        <f t="shared" si="4"/>
        <v>1</v>
      </c>
      <c r="AC42" s="1260">
        <f t="shared" si="5"/>
        <v>1</v>
      </c>
    </row>
    <row r="43" spans="1:29" ht="15">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5"/>
      <c r="M43" s="2480"/>
      <c r="N43" s="2480"/>
      <c r="O43" s="2480"/>
      <c r="P43" s="3405"/>
      <c r="Q43" s="1259" t="str">
        <f t="shared" si="11"/>
        <v>内部装修维护情况</v>
      </c>
      <c r="R43" s="667" t="s">
        <v>14</v>
      </c>
      <c r="S43" s="668">
        <f t="shared" si="12"/>
        <v>100</v>
      </c>
      <c r="T43" s="667" t="s">
        <v>14</v>
      </c>
      <c r="U43" s="668">
        <f t="shared" si="13"/>
        <v>100</v>
      </c>
      <c r="V43" s="667" t="s">
        <v>14</v>
      </c>
      <c r="W43" s="668">
        <f t="shared" si="14"/>
        <v>100</v>
      </c>
      <c r="X43" s="1261"/>
      <c r="Y43" s="3407"/>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05"/>
      <c r="Q45" s="1259">
        <f t="shared" si="11"/>
        <v>111</v>
      </c>
      <c r="R45" s="667" t="s">
        <v>14</v>
      </c>
      <c r="S45" s="668">
        <f t="shared" si="12"/>
        <v>100</v>
      </c>
      <c r="T45" s="667" t="s">
        <v>14</v>
      </c>
      <c r="U45" s="668">
        <f t="shared" si="13"/>
        <v>100</v>
      </c>
      <c r="V45" s="667" t="s">
        <v>14</v>
      </c>
      <c r="W45" s="668">
        <f t="shared" si="14"/>
        <v>100</v>
      </c>
      <c r="X45" s="1261"/>
      <c r="Y45" s="3407"/>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06"/>
      <c r="Q46" s="1259">
        <f t="shared" si="11"/>
        <v>111</v>
      </c>
      <c r="R46" s="667" t="s">
        <v>14</v>
      </c>
      <c r="S46" s="668">
        <f t="shared" si="12"/>
        <v>100</v>
      </c>
      <c r="T46" s="667" t="s">
        <v>14</v>
      </c>
      <c r="U46" s="668">
        <f t="shared" si="13"/>
        <v>100</v>
      </c>
      <c r="V46" s="667" t="s">
        <v>14</v>
      </c>
      <c r="W46" s="668">
        <f t="shared" si="14"/>
        <v>100</v>
      </c>
      <c r="X46" s="1261"/>
      <c r="Y46" s="3408"/>
      <c r="Z46" s="1260">
        <f t="shared" si="15"/>
        <v>111</v>
      </c>
      <c r="AA46" s="1260">
        <f t="shared" si="3"/>
        <v>1</v>
      </c>
      <c r="AB46" s="1260">
        <f t="shared" si="4"/>
        <v>1</v>
      </c>
      <c r="AC46" s="1260">
        <f t="shared" si="5"/>
        <v>1</v>
      </c>
    </row>
    <row r="47" spans="1:29" ht="15">
      <c r="A47" s="416" t="s">
        <v>1708</v>
      </c>
      <c r="B47" s="417"/>
      <c r="C47" s="1077" t="s">
        <v>0</v>
      </c>
      <c r="D47" s="418"/>
      <c r="E47" s="419"/>
      <c r="F47" s="420"/>
      <c r="G47" s="421"/>
      <c r="H47" s="422"/>
      <c r="I47" s="419"/>
      <c r="J47" s="422"/>
      <c r="K47" s="674"/>
      <c r="L47" s="2487"/>
      <c r="M47" s="2480"/>
      <c r="N47" s="2480"/>
      <c r="O47" s="2480"/>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1793</v>
      </c>
      <c r="B48" s="424"/>
      <c r="C48" s="1078" t="e">
        <f>R49</f>
        <v>#DIV/0!</v>
      </c>
      <c r="D48" s="2135" t="s">
        <v>2138</v>
      </c>
      <c r="E48" s="1079" t="e">
        <f>R48</f>
        <v>#DIV/0!</v>
      </c>
      <c r="F48" s="2136"/>
      <c r="G48" s="1078" t="e">
        <f>T48</f>
        <v>#DIV/0!</v>
      </c>
      <c r="H48" s="2136"/>
      <c r="I48" s="1079" t="e">
        <f>V48</f>
        <v>#DIV/0!</v>
      </c>
      <c r="J48" s="2136"/>
      <c r="K48" s="2138">
        <f>F48+H48+J48</f>
        <v>0</v>
      </c>
      <c r="L48" s="2487"/>
      <c r="M48" s="2480"/>
      <c r="N48" s="2480"/>
      <c r="O48" s="2480"/>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7"/>
      <c r="M49" s="2480"/>
      <c r="N49" s="2480"/>
      <c r="O49" s="2480"/>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8" t="s">
        <v>1798</v>
      </c>
      <c r="B57" s="385"/>
      <c r="C57" s="659"/>
      <c r="D57" s="659"/>
      <c r="E57" s="659"/>
      <c r="F57" s="660"/>
      <c r="G57" s="660"/>
      <c r="H57" s="659"/>
      <c r="I57" s="659"/>
      <c r="J57" s="659"/>
      <c r="K57" s="661"/>
      <c r="L57" s="884"/>
      <c r="M57" s="882"/>
      <c r="N57" s="882"/>
      <c r="O57" s="882"/>
      <c r="P57" s="2500"/>
      <c r="Q57" s="2501"/>
      <c r="R57" s="2480"/>
      <c r="S57" s="2480"/>
      <c r="T57" s="2480"/>
      <c r="U57" s="2480"/>
      <c r="V57" s="2480"/>
      <c r="W57" s="2480"/>
      <c r="X57" s="2480"/>
      <c r="Y57" s="2480"/>
      <c r="Z57" s="2480"/>
      <c r="AA57" s="2480"/>
      <c r="AB57" s="2480"/>
      <c r="AC57" s="2480"/>
    </row>
    <row r="58" spans="1:29" s="442" customFormat="1" ht="15">
      <c r="A58" s="440" t="s">
        <v>1679</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2"/>
      <c r="Q58" s="2503"/>
      <c r="R58" s="2503"/>
      <c r="S58" s="2503"/>
      <c r="T58" s="2503"/>
      <c r="U58" s="2503"/>
      <c r="V58" s="2503"/>
      <c r="W58" s="2503"/>
      <c r="X58" s="2503"/>
      <c r="Y58" s="2503"/>
      <c r="Z58" s="2503"/>
      <c r="AA58" s="2503"/>
      <c r="AB58" s="2503"/>
      <c r="AC58" s="2503"/>
    </row>
    <row r="59" spans="1:29" s="102" customFormat="1" ht="15">
      <c r="A59" s="443"/>
      <c r="B59" s="444"/>
      <c r="C59" s="1098">
        <v>100</v>
      </c>
      <c r="D59" s="446"/>
      <c r="E59" s="446"/>
      <c r="F59" s="446"/>
      <c r="G59" s="446"/>
      <c r="H59" s="446"/>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75" thickBot="1">
      <c r="A60" s="449" t="s">
        <v>1716</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5">
      <c r="A61" s="455" t="s">
        <v>1681</v>
      </c>
      <c r="B61" s="444"/>
      <c r="C61" s="456" t="s">
        <v>1776</v>
      </c>
      <c r="D61" s="31"/>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1779</v>
      </c>
      <c r="C82" s="581" t="s">
        <v>1799</v>
      </c>
      <c r="D82" s="581" t="s">
        <v>1800</v>
      </c>
      <c r="E82" s="581" t="s">
        <v>1801</v>
      </c>
      <c r="F82" s="581" t="s">
        <v>1802</v>
      </c>
      <c r="G82" s="581" t="s">
        <v>1803</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1804</v>
      </c>
      <c r="C86" s="485"/>
      <c r="D86" s="485"/>
      <c r="E86" s="485"/>
      <c r="F86" s="485"/>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4"/>
      <c r="G88" s="485"/>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1810</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154.79</v>
      </c>
      <c r="E3" s="1799"/>
      <c r="F3" s="852"/>
      <c r="G3" s="851"/>
      <c r="H3" s="851"/>
      <c r="I3" s="851"/>
      <c r="J3" s="851"/>
      <c r="K3" s="853"/>
      <c r="L3" s="2496"/>
      <c r="M3" s="2497"/>
      <c r="N3" s="2497"/>
      <c r="O3" s="2497"/>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50" t="s">
        <v>1775</v>
      </c>
      <c r="Q4" s="3451"/>
      <c r="R4" s="3454" t="s">
        <v>1771</v>
      </c>
      <c r="S4" s="3455"/>
      <c r="T4" s="3454" t="s">
        <v>1772</v>
      </c>
      <c r="U4" s="3455"/>
      <c r="V4" s="3456" t="s">
        <v>1773</v>
      </c>
      <c r="W4" s="3456"/>
      <c r="X4" s="1803"/>
      <c r="Y4" s="3454" t="s">
        <v>1775</v>
      </c>
      <c r="Z4" s="3455"/>
      <c r="AA4" s="3458" t="s">
        <v>1771</v>
      </c>
      <c r="AB4" s="3458" t="s">
        <v>1772</v>
      </c>
      <c r="AC4" s="3447" t="s">
        <v>1773</v>
      </c>
    </row>
    <row r="5" spans="1:29" ht="15">
      <c r="A5" s="348"/>
      <c r="B5" s="349"/>
      <c r="C5" s="3442" t="s">
        <v>1673</v>
      </c>
      <c r="D5" s="3439"/>
      <c r="E5" s="3443" t="s">
        <v>1674</v>
      </c>
      <c r="F5" s="3434"/>
      <c r="G5" s="3442" t="s">
        <v>1675</v>
      </c>
      <c r="H5" s="3439"/>
      <c r="I5" s="3442" t="s">
        <v>1676</v>
      </c>
      <c r="J5" s="3439"/>
      <c r="K5" s="537"/>
      <c r="L5" s="2479"/>
      <c r="M5" s="2480"/>
      <c r="N5" s="2480"/>
      <c r="O5" s="2480"/>
      <c r="P5" s="3452"/>
      <c r="Q5" s="3422"/>
      <c r="R5" s="3427"/>
      <c r="S5" s="3428"/>
      <c r="T5" s="3427"/>
      <c r="U5" s="3428"/>
      <c r="V5" s="3401"/>
      <c r="W5" s="3401"/>
      <c r="X5" s="1261"/>
      <c r="Y5" s="3427"/>
      <c r="Z5" s="3428"/>
      <c r="AA5" s="3413"/>
      <c r="AB5" s="3413"/>
      <c r="AC5" s="3448"/>
    </row>
    <row r="6" spans="1:29" ht="15.75" thickBot="1">
      <c r="A6" s="350"/>
      <c r="B6" s="351"/>
      <c r="C6" s="3431" t="s">
        <v>1677</v>
      </c>
      <c r="D6" s="3432"/>
      <c r="E6" s="3440" t="s">
        <v>1677</v>
      </c>
      <c r="F6" s="3441"/>
      <c r="G6" s="3431" t="s">
        <v>1677</v>
      </c>
      <c r="H6" s="3432"/>
      <c r="I6" s="3431" t="s">
        <v>1677</v>
      </c>
      <c r="J6" s="3432"/>
      <c r="K6" s="537" t="s">
        <v>1678</v>
      </c>
      <c r="L6" s="2479"/>
      <c r="M6" s="2480"/>
      <c r="N6" s="2480"/>
      <c r="O6" s="2480"/>
      <c r="P6" s="3453"/>
      <c r="Q6" s="3424"/>
      <c r="R6" s="3427"/>
      <c r="S6" s="3428"/>
      <c r="T6" s="3429"/>
      <c r="U6" s="3430"/>
      <c r="V6" s="3401"/>
      <c r="W6" s="3401"/>
      <c r="X6" s="1261"/>
      <c r="Y6" s="3429"/>
      <c r="Z6" s="3430"/>
      <c r="AA6" s="3414"/>
      <c r="AB6" s="3414"/>
      <c r="AC6" s="3449"/>
    </row>
    <row r="7" spans="1:29" s="102" customFormat="1" ht="15.75" thickBot="1">
      <c r="A7" s="352" t="s">
        <v>1679</v>
      </c>
      <c r="B7" s="353"/>
      <c r="C7" s="354">
        <f>'数据-取费表'!B2</f>
        <v>45940</v>
      </c>
      <c r="D7" s="355">
        <v>100</v>
      </c>
      <c r="E7" s="356"/>
      <c r="F7" s="357">
        <f>SUMIF(59:59,YEAR(E7)&amp;"-"&amp;MONTH(E7),60:60)</f>
        <v>0</v>
      </c>
      <c r="G7" s="356"/>
      <c r="H7" s="355">
        <f>SUMIF(59:59,YEAR(G7)&amp;"-"&amp;MONTH(G7),60:60)</f>
        <v>0</v>
      </c>
      <c r="I7" s="356"/>
      <c r="J7" s="355">
        <f>SUMIF(59:59,YEAR(I7)&amp;"-"&amp;MONTH(I7),60:60)</f>
        <v>0</v>
      </c>
      <c r="K7" s="38"/>
      <c r="L7" s="2481"/>
      <c r="M7" s="2432"/>
      <c r="N7" s="2432"/>
      <c r="O7" s="2432"/>
      <c r="P7" s="3457"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798"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457" t="s">
        <v>1683</v>
      </c>
      <c r="Q8" s="3436"/>
      <c r="R8" s="664" t="s">
        <v>14</v>
      </c>
      <c r="S8" s="665">
        <f t="shared" si="0"/>
        <v>100</v>
      </c>
      <c r="T8" s="664" t="s">
        <v>14</v>
      </c>
      <c r="U8" s="665">
        <f t="shared" si="1"/>
        <v>100</v>
      </c>
      <c r="V8" s="664" t="s">
        <v>14</v>
      </c>
      <c r="W8" s="665">
        <f t="shared" si="2"/>
        <v>100</v>
      </c>
      <c r="X8" s="666"/>
      <c r="Y8" s="3435" t="s">
        <v>1683</v>
      </c>
      <c r="Z8" s="3436"/>
      <c r="AA8" s="50">
        <f t="shared" ref="AA8:AA47" si="3">D8/F8</f>
        <v>1</v>
      </c>
      <c r="AB8" s="50">
        <f t="shared" ref="AB8:AB47" si="4">D8/H8</f>
        <v>1</v>
      </c>
      <c r="AC8" s="798">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798">
        <f t="shared" si="5"/>
        <v>1</v>
      </c>
    </row>
    <row r="10" spans="1:29" s="366" customFormat="1" ht="27">
      <c r="A10" s="363"/>
      <c r="B10" s="364" t="s">
        <v>1688</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11"/>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1"/>
      <c r="M12" s="2432"/>
      <c r="N12" s="2432"/>
      <c r="O12" s="2432"/>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5"/>
      <c r="M13" s="2480"/>
      <c r="N13" s="2480"/>
      <c r="O13" s="2480"/>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4"/>
      <c r="H14" s="377">
        <f>SUMIF(75:75,G14,76:76)-SUMIF(75:75,C14,76:76)+100</f>
        <v>100</v>
      </c>
      <c r="I14" s="371"/>
      <c r="J14" s="377">
        <f>SUMIF(75:75,I14,76:76)-SUMIF(75:75,C14,76:76)+100</f>
        <v>100</v>
      </c>
      <c r="K14" s="539"/>
      <c r="L14" s="2485"/>
      <c r="M14" s="2480"/>
      <c r="N14" s="2480"/>
      <c r="O14" s="2480"/>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798">
        <f t="shared" si="5"/>
        <v>1</v>
      </c>
    </row>
    <row r="15" spans="1:29" ht="85.5">
      <c r="A15" s="379" t="s">
        <v>1690</v>
      </c>
      <c r="B15" s="554" t="s">
        <v>1811</v>
      </c>
      <c r="C15" s="1805"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09" t="s">
        <v>1691</v>
      </c>
      <c r="Q15" s="1259" t="str">
        <f t="shared" si="6"/>
        <v>办公集聚程度</v>
      </c>
      <c r="R15" s="667" t="s">
        <v>14</v>
      </c>
      <c r="S15" s="668">
        <f t="shared" si="0"/>
        <v>100</v>
      </c>
      <c r="T15" s="667" t="s">
        <v>14</v>
      </c>
      <c r="U15" s="668">
        <f t="shared" si="1"/>
        <v>100</v>
      </c>
      <c r="V15" s="667" t="s">
        <v>14</v>
      </c>
      <c r="W15" s="668">
        <f t="shared" si="2"/>
        <v>100</v>
      </c>
      <c r="X15" s="1261"/>
      <c r="Y15" s="3402" t="s">
        <v>1691</v>
      </c>
      <c r="Z15" s="1260" t="str">
        <f t="shared" si="7"/>
        <v>办公集聚程度</v>
      </c>
      <c r="AA15" s="1260">
        <f t="shared" si="3"/>
        <v>1</v>
      </c>
      <c r="AB15" s="1260">
        <f t="shared" si="4"/>
        <v>1</v>
      </c>
      <c r="AC15" s="1806">
        <f t="shared" si="5"/>
        <v>1</v>
      </c>
    </row>
    <row r="16" spans="1:29" ht="15">
      <c r="A16" s="367"/>
      <c r="B16" s="555"/>
      <c r="C16" s="1754"/>
      <c r="D16" s="387"/>
      <c r="E16" s="386"/>
      <c r="F16" s="387"/>
      <c r="G16" s="1754"/>
      <c r="H16" s="389"/>
      <c r="I16" s="386"/>
      <c r="J16" s="387"/>
      <c r="K16" s="541"/>
      <c r="L16" s="2485"/>
      <c r="M16" s="2480"/>
      <c r="N16" s="2480"/>
      <c r="O16" s="2480"/>
      <c r="P16" s="3410"/>
      <c r="Q16" s="1259"/>
      <c r="R16" s="667"/>
      <c r="S16" s="668"/>
      <c r="T16" s="667"/>
      <c r="U16" s="668"/>
      <c r="V16" s="667"/>
      <c r="W16" s="668"/>
      <c r="X16" s="1261"/>
      <c r="Y16" s="3403"/>
      <c r="Z16" s="1260"/>
      <c r="AA16" s="1260">
        <v>1</v>
      </c>
      <c r="AB16" s="1260">
        <v>1</v>
      </c>
      <c r="AC16" s="1806">
        <v>1</v>
      </c>
    </row>
    <row r="17" spans="1:29" ht="71.25">
      <c r="A17" s="367"/>
      <c r="B17" s="556" t="s">
        <v>1259</v>
      </c>
      <c r="C17" s="1807" t="str">
        <f>估价对象房地状况!C6</f>
        <v>估价对象周边有196路、B38路、Y25路等多条公交线路，综合评价交通便捷度一般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10"/>
      <c r="Q17" s="1259" t="str">
        <f>B17</f>
        <v>交通便捷度</v>
      </c>
      <c r="R17" s="667" t="s">
        <v>14</v>
      </c>
      <c r="S17" s="668">
        <f>F17</f>
        <v>100</v>
      </c>
      <c r="T17" s="667" t="s">
        <v>14</v>
      </c>
      <c r="U17" s="668">
        <f>H17</f>
        <v>100</v>
      </c>
      <c r="V17" s="667" t="s">
        <v>14</v>
      </c>
      <c r="W17" s="668">
        <f>J17</f>
        <v>100</v>
      </c>
      <c r="X17" s="1261"/>
      <c r="Y17" s="3403"/>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5"/>
      <c r="M18" s="2480"/>
      <c r="N18" s="2480"/>
      <c r="O18" s="2480"/>
      <c r="P18" s="3410"/>
      <c r="Q18" s="1259"/>
      <c r="R18" s="667"/>
      <c r="S18" s="668"/>
      <c r="T18" s="667"/>
      <c r="U18" s="668"/>
      <c r="V18" s="667"/>
      <c r="W18" s="668"/>
      <c r="X18" s="1261"/>
      <c r="Y18" s="3403"/>
      <c r="Z18" s="1260"/>
      <c r="AA18" s="1260">
        <v>1</v>
      </c>
      <c r="AB18" s="1260">
        <v>1</v>
      </c>
      <c r="AC18" s="1806">
        <v>1</v>
      </c>
    </row>
    <row r="19" spans="1:29" ht="256.5">
      <c r="A19" s="367"/>
      <c r="B19" s="556" t="s">
        <v>1812</v>
      </c>
      <c r="C19" s="1807"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10"/>
      <c r="Q19" s="1259" t="str">
        <f>B19</f>
        <v>公共配套设施</v>
      </c>
      <c r="R19" s="667" t="s">
        <v>14</v>
      </c>
      <c r="S19" s="668">
        <f>F19</f>
        <v>100</v>
      </c>
      <c r="T19" s="667" t="s">
        <v>14</v>
      </c>
      <c r="U19" s="668">
        <f>H19</f>
        <v>100</v>
      </c>
      <c r="V19" s="667" t="s">
        <v>14</v>
      </c>
      <c r="W19" s="668">
        <f>J19</f>
        <v>100</v>
      </c>
      <c r="X19" s="1261"/>
      <c r="Y19" s="3403"/>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5"/>
      <c r="M20" s="2480"/>
      <c r="N20" s="2480"/>
      <c r="O20" s="2480"/>
      <c r="P20" s="3410"/>
      <c r="Q20" s="1259"/>
      <c r="R20" s="667"/>
      <c r="S20" s="668"/>
      <c r="T20" s="667"/>
      <c r="U20" s="668"/>
      <c r="V20" s="667"/>
      <c r="W20" s="668"/>
      <c r="X20" s="1261"/>
      <c r="Y20" s="3403"/>
      <c r="Z20" s="1260"/>
      <c r="AA20" s="1260">
        <v>1</v>
      </c>
      <c r="AB20" s="1260">
        <v>1</v>
      </c>
      <c r="AC20" s="1806">
        <v>1</v>
      </c>
    </row>
    <row r="21" spans="1:29" ht="28.5">
      <c r="A21" s="367"/>
      <c r="B21" s="557" t="s">
        <v>1813</v>
      </c>
      <c r="C21" s="1807"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10"/>
      <c r="Q21" s="1259" t="str">
        <f>B21</f>
        <v>基础设施水平</v>
      </c>
      <c r="R21" s="667" t="s">
        <v>14</v>
      </c>
      <c r="S21" s="668">
        <f>F21</f>
        <v>100</v>
      </c>
      <c r="T21" s="667" t="s">
        <v>14</v>
      </c>
      <c r="U21" s="668">
        <f>H21</f>
        <v>100</v>
      </c>
      <c r="V21" s="667" t="s">
        <v>14</v>
      </c>
      <c r="W21" s="668">
        <f>J21</f>
        <v>100</v>
      </c>
      <c r="X21" s="1261"/>
      <c r="Y21" s="3403"/>
      <c r="Z21" s="1260" t="str">
        <f>Q21</f>
        <v>基础设施水平</v>
      </c>
      <c r="AA21" s="1260">
        <f t="shared" ref="AA21" si="8">D21/F21</f>
        <v>1</v>
      </c>
      <c r="AB21" s="1260">
        <f t="shared" ref="AB21" si="9">D21/H21</f>
        <v>1</v>
      </c>
      <c r="AC21" s="1806">
        <f t="shared" ref="AC21" si="10">D21/J21</f>
        <v>1</v>
      </c>
    </row>
    <row r="22" spans="1:29" ht="15">
      <c r="A22" s="367"/>
      <c r="B22" s="557"/>
      <c r="C22" s="1808"/>
      <c r="D22" s="387"/>
      <c r="E22" s="386"/>
      <c r="F22" s="387"/>
      <c r="G22" s="1754"/>
      <c r="H22" s="387"/>
      <c r="I22" s="1754"/>
      <c r="J22" s="387"/>
      <c r="K22" s="1060"/>
      <c r="L22" s="2485"/>
      <c r="M22" s="2480"/>
      <c r="N22" s="2480"/>
      <c r="O22" s="2480"/>
      <c r="P22" s="3410"/>
      <c r="Q22" s="1259"/>
      <c r="R22" s="667"/>
      <c r="S22" s="668"/>
      <c r="T22" s="667"/>
      <c r="U22" s="668"/>
      <c r="V22" s="667"/>
      <c r="W22" s="668"/>
      <c r="X22" s="1261"/>
      <c r="Y22" s="3403"/>
      <c r="Z22" s="1260"/>
      <c r="AA22" s="1260">
        <v>1</v>
      </c>
      <c r="AB22" s="1260">
        <v>1</v>
      </c>
      <c r="AC22" s="1806">
        <v>1</v>
      </c>
    </row>
    <row r="23" spans="1:29" ht="99.75">
      <c r="A23" s="367"/>
      <c r="B23" s="556" t="s">
        <v>1814</v>
      </c>
      <c r="C23" s="1807" t="str">
        <f>估价对象房地状况!C9</f>
        <v>估价对象周边有河南省体育场馆中心、郑州海洋馆等人文景观，东风渠水系等自然景观，综合评价环境状况较好。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10"/>
      <c r="Q23" s="1259" t="str">
        <f>B23</f>
        <v>环境质量</v>
      </c>
      <c r="R23" s="667" t="s">
        <v>14</v>
      </c>
      <c r="S23" s="668">
        <f>F23</f>
        <v>100</v>
      </c>
      <c r="T23" s="667" t="s">
        <v>14</v>
      </c>
      <c r="U23" s="668">
        <f>H23</f>
        <v>100</v>
      </c>
      <c r="V23" s="667" t="s">
        <v>14</v>
      </c>
      <c r="W23" s="668">
        <f>J23</f>
        <v>100</v>
      </c>
      <c r="X23" s="1261"/>
      <c r="Y23" s="3403"/>
      <c r="Z23" s="1260" t="str">
        <f>Q23</f>
        <v>环境质量</v>
      </c>
      <c r="AA23" s="1260">
        <f t="shared" si="3"/>
        <v>1</v>
      </c>
      <c r="AB23" s="1260">
        <f t="shared" si="4"/>
        <v>1</v>
      </c>
      <c r="AC23" s="1806">
        <f t="shared" si="5"/>
        <v>1</v>
      </c>
    </row>
    <row r="24" spans="1:29" ht="15">
      <c r="A24" s="367"/>
      <c r="B24" s="557"/>
      <c r="C24" s="1754"/>
      <c r="D24" s="387"/>
      <c r="E24" s="1747"/>
      <c r="F24" s="387"/>
      <c r="G24" s="1748"/>
      <c r="H24" s="387"/>
      <c r="I24" s="1748"/>
      <c r="J24" s="387"/>
      <c r="K24" s="541"/>
      <c r="L24" s="2485"/>
      <c r="M24" s="2480"/>
      <c r="N24" s="2480"/>
      <c r="O24" s="2480"/>
      <c r="P24" s="3410"/>
      <c r="Q24" s="1259"/>
      <c r="R24" s="667"/>
      <c r="S24" s="668"/>
      <c r="T24" s="667"/>
      <c r="U24" s="668"/>
      <c r="V24" s="667"/>
      <c r="W24" s="668"/>
      <c r="X24" s="1261"/>
      <c r="Y24" s="3403"/>
      <c r="Z24" s="1260"/>
      <c r="AA24" s="1260">
        <v>1</v>
      </c>
      <c r="AB24" s="1260">
        <v>1</v>
      </c>
      <c r="AC24" s="1806">
        <v>1</v>
      </c>
    </row>
    <row r="25" spans="1:29" ht="27">
      <c r="A25" s="348"/>
      <c r="B25" s="556" t="s">
        <v>1815</v>
      </c>
      <c r="C25" s="1758"/>
      <c r="D25" s="374">
        <v>100</v>
      </c>
      <c r="E25" s="373"/>
      <c r="F25" s="374">
        <f>SUMIF(87:87,E26,88:88)-SUMIF(87:87,C26,88:88)+100</f>
        <v>100</v>
      </c>
      <c r="G25" s="1758"/>
      <c r="H25" s="374">
        <f>SUMIF(87:87,G26,88:88)-SUMIF(87:87,C26,88:88)+100</f>
        <v>100</v>
      </c>
      <c r="I25" s="373"/>
      <c r="J25" s="374">
        <f>SUMIF(87:87,I26,88:88)-SUMIF(87:87,C26,88:88)+100</f>
        <v>100</v>
      </c>
      <c r="K25" s="540"/>
      <c r="L25" s="2485"/>
      <c r="M25" s="2480"/>
      <c r="N25" s="2480"/>
      <c r="O25" s="2480"/>
      <c r="P25" s="3410"/>
      <c r="Q25" s="1259" t="str">
        <f>B25</f>
        <v>毗邻道路的类型与等级</v>
      </c>
      <c r="R25" s="667" t="s">
        <v>14</v>
      </c>
      <c r="S25" s="668">
        <f>F25</f>
        <v>100</v>
      </c>
      <c r="T25" s="667" t="s">
        <v>14</v>
      </c>
      <c r="U25" s="668">
        <f>H25</f>
        <v>100</v>
      </c>
      <c r="V25" s="667" t="s">
        <v>14</v>
      </c>
      <c r="W25" s="668">
        <f>J25</f>
        <v>100</v>
      </c>
      <c r="X25" s="1261"/>
      <c r="Y25" s="3403"/>
      <c r="Z25" s="1260" t="str">
        <f>Q25</f>
        <v>毗邻道路的类型与等级</v>
      </c>
      <c r="AA25" s="1260">
        <f t="shared" si="3"/>
        <v>1</v>
      </c>
      <c r="AB25" s="1260">
        <f t="shared" si="4"/>
        <v>1</v>
      </c>
      <c r="AC25" s="1806">
        <f t="shared" si="5"/>
        <v>1</v>
      </c>
    </row>
    <row r="26" spans="1:29" ht="15">
      <c r="A26" s="348"/>
      <c r="B26" s="401"/>
      <c r="C26" s="558"/>
      <c r="D26" s="374"/>
      <c r="E26" s="542"/>
      <c r="F26" s="374"/>
      <c r="G26" s="558"/>
      <c r="H26" s="374"/>
      <c r="I26" s="542"/>
      <c r="J26" s="374"/>
      <c r="K26" s="541"/>
      <c r="L26" s="2485"/>
      <c r="M26" s="2480"/>
      <c r="N26" s="2480"/>
      <c r="O26" s="2480"/>
      <c r="P26" s="3410"/>
      <c r="Q26" s="1259"/>
      <c r="R26" s="667"/>
      <c r="S26" s="668"/>
      <c r="T26" s="667"/>
      <c r="U26" s="668"/>
      <c r="V26" s="667"/>
      <c r="W26" s="668"/>
      <c r="X26" s="1261"/>
      <c r="Y26" s="3403"/>
      <c r="Z26" s="1260"/>
      <c r="AA26" s="1260">
        <v>1</v>
      </c>
      <c r="AB26" s="1260">
        <v>1</v>
      </c>
      <c r="AC26" s="1806">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10"/>
      <c r="Q27" s="1259" t="str">
        <f t="shared" ref="Q27:Q47" si="11">B27</f>
        <v>楼层</v>
      </c>
      <c r="R27" s="667" t="s">
        <v>14</v>
      </c>
      <c r="S27" s="668">
        <f>F27</f>
        <v>100</v>
      </c>
      <c r="T27" s="667" t="s">
        <v>14</v>
      </c>
      <c r="U27" s="668">
        <f>H27</f>
        <v>100</v>
      </c>
      <c r="V27" s="667" t="s">
        <v>14</v>
      </c>
      <c r="W27" s="668">
        <f>J27</f>
        <v>100</v>
      </c>
      <c r="X27" s="1261"/>
      <c r="Y27" s="3403"/>
      <c r="Z27" s="1260" t="str">
        <f>Q27</f>
        <v>楼层</v>
      </c>
      <c r="AA27" s="1260">
        <f t="shared" si="3"/>
        <v>1</v>
      </c>
      <c r="AB27" s="1260">
        <f t="shared" si="4"/>
        <v>1</v>
      </c>
      <c r="AC27" s="1806">
        <f t="shared" si="5"/>
        <v>1</v>
      </c>
    </row>
    <row r="28" spans="1:29" s="102" customFormat="1" ht="15">
      <c r="A28" s="370"/>
      <c r="B28" s="556" t="s">
        <v>1816</v>
      </c>
      <c r="C28" s="1809"/>
      <c r="D28" s="401">
        <v>100</v>
      </c>
      <c r="E28" s="1801"/>
      <c r="F28" s="401">
        <f>SUMIF(91:91,E28,92:92)-SUMIF(91:91,C28,92:92)+100</f>
        <v>100</v>
      </c>
      <c r="G28" s="1809"/>
      <c r="H28" s="401">
        <f>SUMIF(91:91,G28,92:92)-SUMIF(91:91,C28,92:92)+100</f>
        <v>100</v>
      </c>
      <c r="I28" s="1801"/>
      <c r="J28" s="401">
        <f>SUMIF(91:91,I28,92:92)-SUMIF(91:91,C28,92:92)+100</f>
        <v>100</v>
      </c>
      <c r="K28" s="538"/>
      <c r="L28" s="2481"/>
      <c r="M28" s="2432"/>
      <c r="N28" s="2432"/>
      <c r="O28" s="2432"/>
      <c r="P28" s="3410"/>
      <c r="Q28" s="530" t="str">
        <f t="shared" si="11"/>
        <v>朝向</v>
      </c>
      <c r="R28" s="664" t="s">
        <v>14</v>
      </c>
      <c r="S28" s="665">
        <f>F28</f>
        <v>100</v>
      </c>
      <c r="T28" s="664" t="s">
        <v>14</v>
      </c>
      <c r="U28" s="665">
        <f>H28</f>
        <v>100</v>
      </c>
      <c r="V28" s="664" t="s">
        <v>14</v>
      </c>
      <c r="W28" s="665">
        <f>J28</f>
        <v>100</v>
      </c>
      <c r="X28" s="666"/>
      <c r="Y28" s="3403"/>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5"/>
      <c r="M29" s="2480"/>
      <c r="N29" s="2480"/>
      <c r="O29" s="2480"/>
      <c r="P29" s="3410"/>
      <c r="Q29" s="1259">
        <f t="shared" si="11"/>
        <v>111</v>
      </c>
      <c r="R29" s="667" t="s">
        <v>14</v>
      </c>
      <c r="S29" s="668">
        <f t="shared" ref="S29:S47" si="12">F29</f>
        <v>100</v>
      </c>
      <c r="T29" s="667" t="s">
        <v>14</v>
      </c>
      <c r="U29" s="668">
        <f t="shared" ref="U29:U47" si="13">H29</f>
        <v>100</v>
      </c>
      <c r="V29" s="667" t="s">
        <v>14</v>
      </c>
      <c r="W29" s="668">
        <f t="shared" ref="W29:W47" si="14">J29</f>
        <v>100</v>
      </c>
      <c r="X29" s="1261"/>
      <c r="Y29" s="3403"/>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5"/>
      <c r="M30" s="2480"/>
      <c r="N30" s="2480"/>
      <c r="O30" s="2480"/>
      <c r="P30" s="3410"/>
      <c r="Q30" s="1259">
        <f t="shared" si="11"/>
        <v>111</v>
      </c>
      <c r="R30" s="667" t="s">
        <v>14</v>
      </c>
      <c r="S30" s="668">
        <f t="shared" si="12"/>
        <v>100</v>
      </c>
      <c r="T30" s="667" t="s">
        <v>14</v>
      </c>
      <c r="U30" s="668">
        <f t="shared" si="13"/>
        <v>100</v>
      </c>
      <c r="V30" s="667" t="s">
        <v>14</v>
      </c>
      <c r="W30" s="668">
        <f t="shared" si="14"/>
        <v>100</v>
      </c>
      <c r="X30" s="1261"/>
      <c r="Y30" s="3403"/>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5"/>
      <c r="M31" s="2480"/>
      <c r="N31" s="2480"/>
      <c r="O31" s="2480"/>
      <c r="P31" s="3410"/>
      <c r="Q31" s="1259">
        <f t="shared" si="11"/>
        <v>111</v>
      </c>
      <c r="R31" s="667" t="s">
        <v>14</v>
      </c>
      <c r="S31" s="668">
        <f t="shared" si="12"/>
        <v>100</v>
      </c>
      <c r="T31" s="667" t="s">
        <v>14</v>
      </c>
      <c r="U31" s="668">
        <f t="shared" si="13"/>
        <v>100</v>
      </c>
      <c r="V31" s="667" t="s">
        <v>14</v>
      </c>
      <c r="W31" s="668">
        <f t="shared" si="14"/>
        <v>100</v>
      </c>
      <c r="X31" s="1261"/>
      <c r="Y31" s="3403"/>
      <c r="Z31" s="1260">
        <f t="shared" si="15"/>
        <v>111</v>
      </c>
      <c r="AA31" s="1260">
        <f t="shared" si="3"/>
        <v>1</v>
      </c>
      <c r="AB31" s="1260">
        <f t="shared" si="4"/>
        <v>1</v>
      </c>
      <c r="AC31" s="1806">
        <f t="shared" si="5"/>
        <v>1</v>
      </c>
    </row>
    <row r="32" spans="1:29" ht="15.75" thickBot="1">
      <c r="A32" s="375"/>
      <c r="B32" s="559">
        <v>111</v>
      </c>
      <c r="C32" s="1759"/>
      <c r="D32" s="377">
        <v>100</v>
      </c>
      <c r="E32" s="553"/>
      <c r="F32" s="377">
        <f>SUMIF(99:99,E32,100:100)-SUMIF(99:99,C32,100:100)+100</f>
        <v>100</v>
      </c>
      <c r="G32" s="1804"/>
      <c r="H32" s="377">
        <f>SUMIF(99:99,G32,100:100)-SUMIF(99:99,C32,100:100)+100</f>
        <v>100</v>
      </c>
      <c r="I32" s="371"/>
      <c r="J32" s="377">
        <f>SUMIF(99:99,I32,100:100)-SUMIF(99:99,C32,100:100)+100</f>
        <v>100</v>
      </c>
      <c r="K32" s="539"/>
      <c r="L32" s="2485"/>
      <c r="M32" s="2480"/>
      <c r="N32" s="2480"/>
      <c r="O32" s="2480"/>
      <c r="P32" s="3410"/>
      <c r="Q32" s="1259">
        <f t="shared" si="11"/>
        <v>111</v>
      </c>
      <c r="R32" s="667" t="s">
        <v>14</v>
      </c>
      <c r="S32" s="668">
        <f t="shared" si="12"/>
        <v>100</v>
      </c>
      <c r="T32" s="667" t="s">
        <v>14</v>
      </c>
      <c r="U32" s="668">
        <f t="shared" si="13"/>
        <v>100</v>
      </c>
      <c r="V32" s="667" t="s">
        <v>14</v>
      </c>
      <c r="W32" s="668">
        <f t="shared" si="14"/>
        <v>100</v>
      </c>
      <c r="X32" s="1261"/>
      <c r="Y32" s="3403"/>
      <c r="Z32" s="1260">
        <f t="shared" si="15"/>
        <v>111</v>
      </c>
      <c r="AA32" s="1260">
        <f t="shared" si="3"/>
        <v>1</v>
      </c>
      <c r="AB32" s="1260">
        <f t="shared" si="4"/>
        <v>1</v>
      </c>
      <c r="AC32" s="1806">
        <f t="shared" si="5"/>
        <v>1</v>
      </c>
    </row>
    <row r="33" spans="1:29" ht="15">
      <c r="A33" s="379" t="s">
        <v>1694</v>
      </c>
      <c r="B33" s="60" t="s">
        <v>1817</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5"/>
      <c r="M33" s="2480"/>
      <c r="N33" s="2480"/>
      <c r="O33" s="2480"/>
      <c r="P33" s="3404" t="s">
        <v>1696</v>
      </c>
      <c r="Q33" s="1259" t="str">
        <f t="shared" si="11"/>
        <v>建筑类型</v>
      </c>
      <c r="R33" s="667" t="s">
        <v>14</v>
      </c>
      <c r="S33" s="668">
        <f t="shared" si="12"/>
        <v>100</v>
      </c>
      <c r="T33" s="667" t="s">
        <v>14</v>
      </c>
      <c r="U33" s="668">
        <f t="shared" si="13"/>
        <v>100</v>
      </c>
      <c r="V33" s="667" t="s">
        <v>14</v>
      </c>
      <c r="W33" s="668">
        <f t="shared" si="14"/>
        <v>100</v>
      </c>
      <c r="X33" s="1261"/>
      <c r="Y33" s="3407" t="s">
        <v>1696</v>
      </c>
      <c r="Z33" s="1260" t="str">
        <f t="shared" si="15"/>
        <v>建筑类型</v>
      </c>
      <c r="AA33" s="1260">
        <f t="shared" si="3"/>
        <v>1</v>
      </c>
      <c r="AB33" s="1260">
        <f t="shared" si="4"/>
        <v>1</v>
      </c>
      <c r="AC33" s="1806">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0" t="e">
        <f t="shared" si="3"/>
        <v>#N/A</v>
      </c>
      <c r="AB34" s="1260" t="e">
        <f t="shared" si="4"/>
        <v>#N/A</v>
      </c>
      <c r="AC34" s="1806"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05"/>
      <c r="Q35" s="1259" t="str">
        <f t="shared" si="11"/>
        <v>建筑结构</v>
      </c>
      <c r="R35" s="667" t="s">
        <v>14</v>
      </c>
      <c r="S35" s="668">
        <f t="shared" si="12"/>
        <v>100</v>
      </c>
      <c r="T35" s="667" t="s">
        <v>14</v>
      </c>
      <c r="U35" s="668">
        <f t="shared" si="13"/>
        <v>100</v>
      </c>
      <c r="V35" s="667" t="s">
        <v>14</v>
      </c>
      <c r="W35" s="668">
        <f t="shared" si="14"/>
        <v>100</v>
      </c>
      <c r="X35" s="1261"/>
      <c r="Y35" s="3407"/>
      <c r="Z35" s="1260" t="str">
        <f t="shared" si="15"/>
        <v>建筑结构</v>
      </c>
      <c r="AA35" s="1260">
        <f t="shared" si="3"/>
        <v>1</v>
      </c>
      <c r="AB35" s="1260">
        <f t="shared" si="4"/>
        <v>1</v>
      </c>
      <c r="AC35" s="1806">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05"/>
      <c r="Q36" s="1259" t="str">
        <f t="shared" si="11"/>
        <v>公共部分装修</v>
      </c>
      <c r="R36" s="667" t="s">
        <v>14</v>
      </c>
      <c r="S36" s="668">
        <f t="shared" si="12"/>
        <v>100</v>
      </c>
      <c r="T36" s="667" t="s">
        <v>14</v>
      </c>
      <c r="U36" s="668">
        <f t="shared" si="13"/>
        <v>100</v>
      </c>
      <c r="V36" s="667" t="s">
        <v>14</v>
      </c>
      <c r="W36" s="668">
        <f t="shared" si="14"/>
        <v>100</v>
      </c>
      <c r="X36" s="1261"/>
      <c r="Y36" s="3407"/>
      <c r="Z36" s="1260" t="str">
        <f t="shared" si="15"/>
        <v>公共部分装修</v>
      </c>
      <c r="AA36" s="1260">
        <f t="shared" si="3"/>
        <v>1</v>
      </c>
      <c r="AB36" s="1260">
        <f t="shared" si="4"/>
        <v>1</v>
      </c>
      <c r="AC36" s="1806">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05"/>
      <c r="Q37" s="1259" t="str">
        <f t="shared" si="11"/>
        <v>成新度</v>
      </c>
      <c r="R37" s="667" t="s">
        <v>14</v>
      </c>
      <c r="S37" s="668" t="e">
        <f t="shared" si="12"/>
        <v>#N/A</v>
      </c>
      <c r="T37" s="667" t="s">
        <v>14</v>
      </c>
      <c r="U37" s="668" t="e">
        <f t="shared" si="13"/>
        <v>#N/A</v>
      </c>
      <c r="V37" s="667" t="s">
        <v>14</v>
      </c>
      <c r="W37" s="668" t="e">
        <f t="shared" si="14"/>
        <v>#N/A</v>
      </c>
      <c r="X37" s="1261"/>
      <c r="Y37" s="3407"/>
      <c r="Z37" s="1260" t="str">
        <f t="shared" si="15"/>
        <v>成新度</v>
      </c>
      <c r="AA37" s="1260" t="e">
        <f t="shared" si="3"/>
        <v>#N/A</v>
      </c>
      <c r="AB37" s="1260" t="e">
        <f t="shared" si="4"/>
        <v>#N/A</v>
      </c>
      <c r="AC37" s="1806"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798">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05" t="s">
        <v>1696</v>
      </c>
      <c r="Q39" s="1259" t="str">
        <f t="shared" si="11"/>
        <v>物业管理</v>
      </c>
      <c r="R39" s="667" t="s">
        <v>14</v>
      </c>
      <c r="S39" s="668">
        <f t="shared" si="12"/>
        <v>100</v>
      </c>
      <c r="T39" s="667" t="s">
        <v>14</v>
      </c>
      <c r="U39" s="668">
        <f t="shared" si="13"/>
        <v>100</v>
      </c>
      <c r="V39" s="667" t="s">
        <v>14</v>
      </c>
      <c r="W39" s="668">
        <f t="shared" si="14"/>
        <v>100</v>
      </c>
      <c r="X39" s="1261"/>
      <c r="Y39" s="3407" t="s">
        <v>1696</v>
      </c>
      <c r="Z39" s="1260" t="str">
        <f t="shared" si="15"/>
        <v>物业管理</v>
      </c>
      <c r="AA39" s="1260">
        <f t="shared" si="3"/>
        <v>1</v>
      </c>
      <c r="AB39" s="1260">
        <f t="shared" si="4"/>
        <v>1</v>
      </c>
      <c r="AC39" s="1806">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05"/>
      <c r="Q40" s="1259" t="str">
        <f t="shared" si="11"/>
        <v>市政基础设施</v>
      </c>
      <c r="R40" s="667" t="s">
        <v>14</v>
      </c>
      <c r="S40" s="668">
        <f t="shared" si="12"/>
        <v>100</v>
      </c>
      <c r="T40" s="667" t="s">
        <v>14</v>
      </c>
      <c r="U40" s="668">
        <f t="shared" si="13"/>
        <v>100</v>
      </c>
      <c r="V40" s="667" t="s">
        <v>14</v>
      </c>
      <c r="W40" s="668">
        <f t="shared" si="14"/>
        <v>100</v>
      </c>
      <c r="X40" s="1261"/>
      <c r="Y40" s="3407"/>
      <c r="Z40" s="1260" t="str">
        <f t="shared" si="15"/>
        <v>市政基础设施</v>
      </c>
      <c r="AA40" s="1260">
        <f t="shared" si="3"/>
        <v>1</v>
      </c>
      <c r="AB40" s="1260">
        <f t="shared" si="4"/>
        <v>1</v>
      </c>
      <c r="AC40" s="1806">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05"/>
      <c r="Q41" s="1259" t="str">
        <f t="shared" si="11"/>
        <v>层高</v>
      </c>
      <c r="R41" s="667" t="s">
        <v>14</v>
      </c>
      <c r="S41" s="668">
        <f t="shared" si="12"/>
        <v>100</v>
      </c>
      <c r="T41" s="667" t="s">
        <v>14</v>
      </c>
      <c r="U41" s="668">
        <f t="shared" si="13"/>
        <v>100</v>
      </c>
      <c r="V41" s="667" t="s">
        <v>14</v>
      </c>
      <c r="W41" s="668">
        <f t="shared" si="14"/>
        <v>100</v>
      </c>
      <c r="X41" s="1261"/>
      <c r="Y41" s="3407"/>
      <c r="Z41" s="1260" t="str">
        <f t="shared" si="15"/>
        <v>层高</v>
      </c>
      <c r="AA41" s="1260">
        <f t="shared" si="3"/>
        <v>1</v>
      </c>
      <c r="AB41" s="1260">
        <f t="shared" si="4"/>
        <v>1</v>
      </c>
      <c r="AC41" s="1806">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0">
        <f t="shared" si="3"/>
        <v>1</v>
      </c>
      <c r="AB42" s="1260">
        <f t="shared" si="4"/>
        <v>1</v>
      </c>
      <c r="AC42" s="1806">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05"/>
      <c r="Q43" s="1259" t="str">
        <f t="shared" si="11"/>
        <v>内部装修</v>
      </c>
      <c r="R43" s="667" t="s">
        <v>14</v>
      </c>
      <c r="S43" s="668">
        <f t="shared" si="12"/>
        <v>100</v>
      </c>
      <c r="T43" s="667" t="s">
        <v>14</v>
      </c>
      <c r="U43" s="668">
        <f t="shared" si="13"/>
        <v>100</v>
      </c>
      <c r="V43" s="667" t="s">
        <v>14</v>
      </c>
      <c r="W43" s="668">
        <f t="shared" si="14"/>
        <v>100</v>
      </c>
      <c r="X43" s="1261"/>
      <c r="Y43" s="3407"/>
      <c r="Z43" s="1260" t="str">
        <f t="shared" si="15"/>
        <v>内部装修</v>
      </c>
      <c r="AA43" s="1260">
        <f t="shared" si="3"/>
        <v>1</v>
      </c>
      <c r="AB43" s="1260">
        <f t="shared" si="4"/>
        <v>1</v>
      </c>
      <c r="AC43" s="1806">
        <f t="shared" si="5"/>
        <v>1</v>
      </c>
    </row>
    <row r="44" spans="1:29" ht="15">
      <c r="A44" s="409"/>
      <c r="B44" s="364" t="s">
        <v>1707</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5"/>
      <c r="M44" s="2480"/>
      <c r="N44" s="2480"/>
      <c r="O44" s="2480"/>
      <c r="P44" s="3405"/>
      <c r="Q44" s="1259" t="str">
        <f t="shared" si="11"/>
        <v>内部装修维护情况</v>
      </c>
      <c r="R44" s="667" t="s">
        <v>14</v>
      </c>
      <c r="S44" s="668">
        <f t="shared" si="12"/>
        <v>100</v>
      </c>
      <c r="T44" s="667" t="s">
        <v>14</v>
      </c>
      <c r="U44" s="668">
        <f t="shared" si="13"/>
        <v>100</v>
      </c>
      <c r="V44" s="667" t="s">
        <v>14</v>
      </c>
      <c r="W44" s="668">
        <f t="shared" si="14"/>
        <v>100</v>
      </c>
      <c r="X44" s="1261"/>
      <c r="Y44" s="3407"/>
      <c r="Z44" s="1260" t="str">
        <f t="shared" si="15"/>
        <v>内部装修维护情况</v>
      </c>
      <c r="AA44" s="1260">
        <f t="shared" si="3"/>
        <v>1</v>
      </c>
      <c r="AB44" s="1260">
        <f t="shared" si="4"/>
        <v>1</v>
      </c>
      <c r="AC44" s="1806">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2"/>
      <c r="N45" s="2432"/>
      <c r="O45" s="2432"/>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05"/>
      <c r="Q46" s="1259">
        <f t="shared" si="11"/>
        <v>111</v>
      </c>
      <c r="R46" s="667" t="s">
        <v>14</v>
      </c>
      <c r="S46" s="668">
        <f t="shared" si="12"/>
        <v>100</v>
      </c>
      <c r="T46" s="667" t="s">
        <v>14</v>
      </c>
      <c r="U46" s="668">
        <f t="shared" si="13"/>
        <v>100</v>
      </c>
      <c r="V46" s="667" t="s">
        <v>14</v>
      </c>
      <c r="W46" s="668">
        <f t="shared" si="14"/>
        <v>100</v>
      </c>
      <c r="X46" s="1261"/>
      <c r="Y46" s="3407"/>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06"/>
      <c r="Q47" s="1259">
        <f t="shared" si="11"/>
        <v>111</v>
      </c>
      <c r="R47" s="667" t="s">
        <v>14</v>
      </c>
      <c r="S47" s="668">
        <f t="shared" si="12"/>
        <v>100</v>
      </c>
      <c r="T47" s="667" t="s">
        <v>14</v>
      </c>
      <c r="U47" s="668">
        <f t="shared" si="13"/>
        <v>100</v>
      </c>
      <c r="V47" s="667" t="s">
        <v>14</v>
      </c>
      <c r="W47" s="668">
        <f t="shared" si="14"/>
        <v>100</v>
      </c>
      <c r="X47" s="1261"/>
      <c r="Y47" s="3408"/>
      <c r="Z47" s="1260">
        <f t="shared" si="15"/>
        <v>111</v>
      </c>
      <c r="AA47" s="1260">
        <f t="shared" si="3"/>
        <v>1</v>
      </c>
      <c r="AB47" s="1260">
        <f t="shared" si="4"/>
        <v>1</v>
      </c>
      <c r="AC47" s="1806">
        <f t="shared" si="5"/>
        <v>1</v>
      </c>
    </row>
    <row r="48" spans="1:29" ht="15">
      <c r="A48" s="416" t="s">
        <v>1708</v>
      </c>
      <c r="B48" s="417"/>
      <c r="C48" s="1077" t="s">
        <v>0</v>
      </c>
      <c r="D48" s="418"/>
      <c r="E48" s="419"/>
      <c r="F48" s="420"/>
      <c r="G48" s="421"/>
      <c r="H48" s="422"/>
      <c r="I48" s="419"/>
      <c r="J48" s="422"/>
      <c r="K48" s="674"/>
      <c r="L48" s="2487"/>
      <c r="M48" s="2480"/>
      <c r="N48" s="2480"/>
      <c r="O48" s="2480"/>
      <c r="P48" s="3411" t="str">
        <f>A48</f>
        <v>成交单价（元/平方米）</v>
      </c>
      <c r="Q48" s="3400"/>
      <c r="R48" s="3401">
        <f>E48</f>
        <v>0</v>
      </c>
      <c r="S48" s="3401"/>
      <c r="T48" s="3401">
        <f>G48</f>
        <v>0</v>
      </c>
      <c r="U48" s="3401"/>
      <c r="V48" s="3401">
        <f>I48</f>
        <v>0</v>
      </c>
      <c r="W48" s="3401"/>
      <c r="X48" s="385"/>
      <c r="Y48" s="673"/>
      <c r="Z48" s="385"/>
      <c r="AA48" s="385"/>
      <c r="AB48" s="385"/>
      <c r="AC48" s="555"/>
    </row>
    <row r="49" spans="1:29" ht="15.75" thickBot="1">
      <c r="A49" s="423" t="s">
        <v>1793</v>
      </c>
      <c r="B49" s="424"/>
      <c r="C49" s="1078" t="e">
        <f>R50</f>
        <v>#DIV/0!</v>
      </c>
      <c r="D49" s="2135" t="s">
        <v>2138</v>
      </c>
      <c r="E49" s="1079" t="e">
        <f>R49</f>
        <v>#DIV/0!</v>
      </c>
      <c r="F49" s="2136"/>
      <c r="G49" s="1078" t="e">
        <f>T49</f>
        <v>#DIV/0!</v>
      </c>
      <c r="H49" s="2136"/>
      <c r="I49" s="1079" t="e">
        <f>V49</f>
        <v>#DIV/0!</v>
      </c>
      <c r="J49" s="2136"/>
      <c r="K49" s="2138">
        <f>F49+H49+J49</f>
        <v>0</v>
      </c>
      <c r="L49" s="2487"/>
      <c r="M49" s="2480"/>
      <c r="N49" s="2480"/>
      <c r="O49" s="2480"/>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7"/>
      <c r="M50" s="2480"/>
      <c r="N50" s="2480"/>
      <c r="O50" s="2480"/>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2"/>
      <c r="Y50" s="1792"/>
      <c r="Z50" s="1792"/>
      <c r="AA50" s="1792"/>
      <c r="AB50" s="1792"/>
      <c r="AC50" s="1793"/>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8" t="s">
        <v>1798</v>
      </c>
      <c r="B58" s="385"/>
      <c r="C58" s="659"/>
      <c r="D58" s="659"/>
      <c r="E58" s="659"/>
      <c r="F58" s="660"/>
      <c r="G58" s="660"/>
      <c r="H58" s="659"/>
      <c r="I58" s="659"/>
      <c r="J58" s="659"/>
      <c r="K58" s="661"/>
      <c r="L58" s="884"/>
      <c r="M58" s="882"/>
      <c r="N58" s="2530"/>
      <c r="O58" s="2530"/>
      <c r="P58" s="2519"/>
      <c r="Q58" s="2501"/>
      <c r="R58" s="2480"/>
      <c r="S58" s="2480"/>
      <c r="T58" s="2480"/>
      <c r="U58" s="2480"/>
      <c r="V58" s="2480"/>
      <c r="W58" s="2480"/>
      <c r="X58" s="2480"/>
      <c r="Y58" s="2480"/>
      <c r="Z58" s="2480"/>
      <c r="AA58" s="2480"/>
      <c r="AB58" s="2480"/>
      <c r="AC58" s="2480"/>
    </row>
    <row r="59" spans="1:29" s="442" customFormat="1" ht="15">
      <c r="A59" s="440" t="s">
        <v>1679</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0"/>
      <c r="Q59" s="2503"/>
      <c r="R59" s="2503"/>
      <c r="S59" s="2503"/>
      <c r="T59" s="2503"/>
      <c r="U59" s="2503"/>
      <c r="V59" s="2503"/>
      <c r="W59" s="2503"/>
      <c r="X59" s="2503"/>
      <c r="Y59" s="2503"/>
      <c r="Z59" s="2503"/>
      <c r="AA59" s="2503"/>
      <c r="AB59" s="2503"/>
      <c r="AC59" s="2503"/>
    </row>
    <row r="60" spans="1:29" s="102" customFormat="1" ht="15">
      <c r="A60" s="443"/>
      <c r="B60" s="444"/>
      <c r="C60" s="1098">
        <v>100</v>
      </c>
      <c r="D60" s="446"/>
      <c r="E60" s="446"/>
      <c r="F60" s="446"/>
      <c r="G60" s="446"/>
      <c r="H60" s="446"/>
      <c r="I60" s="446"/>
      <c r="J60" s="446"/>
      <c r="K60" s="446"/>
      <c r="L60" s="446"/>
      <c r="M60" s="447"/>
      <c r="N60" s="446"/>
      <c r="O60" s="447"/>
      <c r="P60" s="2521"/>
      <c r="Q60" s="2432"/>
      <c r="R60" s="2432"/>
      <c r="S60" s="2432"/>
      <c r="T60" s="2432"/>
      <c r="U60" s="2432"/>
      <c r="V60" s="2432"/>
      <c r="W60" s="2432"/>
      <c r="X60" s="2432"/>
      <c r="Y60" s="2432"/>
      <c r="Z60" s="2432"/>
      <c r="AA60" s="2432"/>
      <c r="AB60" s="2432"/>
      <c r="AC60" s="2432"/>
    </row>
    <row r="61" spans="1:29" s="102" customFormat="1" ht="15.75" thickBot="1">
      <c r="A61" s="449" t="s">
        <v>1716</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5">
      <c r="A62" s="455" t="s">
        <v>1681</v>
      </c>
      <c r="B62" s="444"/>
      <c r="C62" s="456" t="s">
        <v>1776</v>
      </c>
      <c r="D62" s="31"/>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1813</v>
      </c>
      <c r="C83" s="581" t="s">
        <v>1799</v>
      </c>
      <c r="D83" s="581" t="s">
        <v>1800</v>
      </c>
      <c r="E83" s="581" t="s">
        <v>1801</v>
      </c>
      <c r="F83" s="581" t="s">
        <v>1802</v>
      </c>
      <c r="G83" s="581" t="s">
        <v>1803</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1823</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4"/>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154.79</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56"/>
      <c r="M4" s="857"/>
      <c r="N4" s="857"/>
      <c r="O4" s="857"/>
      <c r="P4" s="3419" t="s">
        <v>1775</v>
      </c>
      <c r="Q4" s="3420"/>
      <c r="R4" s="3425" t="s">
        <v>1771</v>
      </c>
      <c r="S4" s="3426"/>
      <c r="T4" s="3425" t="s">
        <v>1772</v>
      </c>
      <c r="U4" s="3426"/>
      <c r="V4" s="3401" t="s">
        <v>1773</v>
      </c>
      <c r="W4" s="3401"/>
      <c r="X4" s="1261"/>
      <c r="Y4" s="3425" t="s">
        <v>1775</v>
      </c>
      <c r="Z4" s="3426"/>
      <c r="AA4" s="3412" t="s">
        <v>1771</v>
      </c>
      <c r="AB4" s="3413" t="s">
        <v>1772</v>
      </c>
      <c r="AC4" s="3412" t="s">
        <v>1773</v>
      </c>
    </row>
    <row r="5" spans="1:29" ht="15">
      <c r="A5" s="348"/>
      <c r="B5" s="349"/>
      <c r="C5" s="3442" t="s">
        <v>1673</v>
      </c>
      <c r="D5" s="3439"/>
      <c r="E5" s="3443" t="s">
        <v>1674</v>
      </c>
      <c r="F5" s="3434"/>
      <c r="G5" s="3442" t="s">
        <v>1675</v>
      </c>
      <c r="H5" s="3439"/>
      <c r="I5" s="3442" t="s">
        <v>1676</v>
      </c>
      <c r="J5" s="3439"/>
      <c r="K5" s="537"/>
      <c r="L5" s="856"/>
      <c r="M5" s="857"/>
      <c r="N5" s="857"/>
      <c r="O5" s="857"/>
      <c r="P5" s="3421"/>
      <c r="Q5" s="3422"/>
      <c r="R5" s="3427"/>
      <c r="S5" s="3428"/>
      <c r="T5" s="3427"/>
      <c r="U5" s="3428"/>
      <c r="V5" s="3401"/>
      <c r="W5" s="3401"/>
      <c r="X5" s="1261"/>
      <c r="Y5" s="3427"/>
      <c r="Z5" s="3428"/>
      <c r="AA5" s="3413"/>
      <c r="AB5" s="3413"/>
      <c r="AC5" s="3413"/>
    </row>
    <row r="6" spans="1:29" ht="15.75" thickBot="1">
      <c r="A6" s="350"/>
      <c r="B6" s="351"/>
      <c r="C6" s="3431" t="s">
        <v>1677</v>
      </c>
      <c r="D6" s="3432"/>
      <c r="E6" s="3440" t="s">
        <v>1677</v>
      </c>
      <c r="F6" s="3441"/>
      <c r="G6" s="3431" t="s">
        <v>1677</v>
      </c>
      <c r="H6" s="3432"/>
      <c r="I6" s="3431" t="s">
        <v>1677</v>
      </c>
      <c r="J6" s="3432"/>
      <c r="K6" s="537" t="s">
        <v>1678</v>
      </c>
      <c r="L6" s="856"/>
      <c r="M6" s="857"/>
      <c r="N6" s="857"/>
      <c r="O6" s="857"/>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c r="F7" s="357">
        <f>SUMIF(52:52,YEAR(E7)&amp;"-"&amp;MONTH(E7),53:53)</f>
        <v>0</v>
      </c>
      <c r="G7" s="356"/>
      <c r="H7" s="355">
        <f>SUMIF(52:52,YEAR(G7)&amp;"-"&amp;MONTH(G7),53:53)</f>
        <v>0</v>
      </c>
      <c r="I7" s="356"/>
      <c r="J7" s="355">
        <f>SUMIF(52:52,YEAR(I7)&amp;"-"&amp;MONTH(I7),53:53)</f>
        <v>0</v>
      </c>
      <c r="K7" s="38"/>
      <c r="L7" s="858"/>
      <c r="M7" s="859"/>
      <c r="N7" s="859"/>
      <c r="O7" s="859"/>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1"/>
      <c r="M10" s="862"/>
      <c r="N10" s="862"/>
      <c r="O10" s="863"/>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400"/>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8"/>
      <c r="M12" s="859"/>
      <c r="N12" s="859"/>
      <c r="O12" s="860"/>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6"/>
      <c r="M13" s="857"/>
      <c r="N13" s="857"/>
      <c r="O13" s="865"/>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6"/>
      <c r="M14" s="857"/>
      <c r="N14" s="857"/>
      <c r="O14" s="865"/>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57">
      <c r="A15" s="379" t="s">
        <v>1690</v>
      </c>
      <c r="B15" s="58" t="s">
        <v>1827</v>
      </c>
      <c r="C15" s="1813"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2" t="s">
        <v>1691</v>
      </c>
      <c r="Q15" s="1259" t="str">
        <f t="shared" si="6"/>
        <v>产业集聚程度</v>
      </c>
      <c r="R15" s="667" t="s">
        <v>14</v>
      </c>
      <c r="S15" s="668">
        <f t="shared" si="0"/>
        <v>100</v>
      </c>
      <c r="T15" s="667" t="s">
        <v>14</v>
      </c>
      <c r="U15" s="668">
        <f t="shared" si="1"/>
        <v>100</v>
      </c>
      <c r="V15" s="667" t="s">
        <v>14</v>
      </c>
      <c r="W15" s="668">
        <f t="shared" si="2"/>
        <v>100</v>
      </c>
      <c r="X15" s="1261"/>
      <c r="Y15" s="3402"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3"/>
      <c r="Q16" s="1259"/>
      <c r="R16" s="667"/>
      <c r="S16" s="668"/>
      <c r="T16" s="667"/>
      <c r="U16" s="668"/>
      <c r="V16" s="667"/>
      <c r="W16" s="668"/>
      <c r="X16" s="1261"/>
      <c r="Y16" s="3403"/>
      <c r="Z16" s="1260"/>
      <c r="AA16" s="1260">
        <v>1</v>
      </c>
      <c r="AB16" s="1260">
        <v>1</v>
      </c>
      <c r="AC16" s="1260">
        <v>1</v>
      </c>
    </row>
    <row r="17" spans="1:29" ht="85.5">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3"/>
      <c r="Q17" s="1259" t="str">
        <f>B17</f>
        <v>交通便捷度</v>
      </c>
      <c r="R17" s="667" t="s">
        <v>14</v>
      </c>
      <c r="S17" s="668">
        <f>F17</f>
        <v>100</v>
      </c>
      <c r="T17" s="667" t="s">
        <v>14</v>
      </c>
      <c r="U17" s="668">
        <f>H17</f>
        <v>100</v>
      </c>
      <c r="V17" s="667" t="s">
        <v>14</v>
      </c>
      <c r="W17" s="668">
        <f>J17</f>
        <v>100</v>
      </c>
      <c r="X17" s="1261"/>
      <c r="Y17" s="340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3"/>
      <c r="Q18" s="1259"/>
      <c r="R18" s="667"/>
      <c r="S18" s="668"/>
      <c r="T18" s="667"/>
      <c r="U18" s="668"/>
      <c r="V18" s="667"/>
      <c r="W18" s="668"/>
      <c r="X18" s="1261"/>
      <c r="Y18" s="3403"/>
      <c r="Z18" s="1260"/>
      <c r="AA18" s="1260">
        <v>1</v>
      </c>
      <c r="AB18" s="1260">
        <v>1</v>
      </c>
      <c r="AC18" s="1260">
        <v>1</v>
      </c>
    </row>
    <row r="19" spans="1:29" ht="42.75">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3"/>
      <c r="Q19" s="1259" t="str">
        <f>B19</f>
        <v>公共配套设施</v>
      </c>
      <c r="R19" s="667" t="s">
        <v>14</v>
      </c>
      <c r="S19" s="668">
        <f>F19</f>
        <v>100</v>
      </c>
      <c r="T19" s="667" t="s">
        <v>14</v>
      </c>
      <c r="U19" s="668">
        <f>H19</f>
        <v>100</v>
      </c>
      <c r="V19" s="667" t="s">
        <v>14</v>
      </c>
      <c r="W19" s="668">
        <f>J19</f>
        <v>100</v>
      </c>
      <c r="X19" s="1261"/>
      <c r="Y19" s="340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3"/>
      <c r="Q20" s="1259"/>
      <c r="R20" s="667"/>
      <c r="S20" s="668"/>
      <c r="T20" s="667"/>
      <c r="U20" s="668"/>
      <c r="V20" s="667"/>
      <c r="W20" s="668"/>
      <c r="X20" s="1261"/>
      <c r="Y20" s="3403"/>
      <c r="Z20" s="1260"/>
      <c r="AA20" s="1260">
        <v>1</v>
      </c>
      <c r="AB20" s="1260">
        <v>1</v>
      </c>
      <c r="AC20" s="1260">
        <v>1</v>
      </c>
    </row>
    <row r="21" spans="1:29" ht="28.5">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3"/>
      <c r="Q21" s="1259" t="str">
        <f>B21</f>
        <v>基础设施水平</v>
      </c>
      <c r="R21" s="667" t="s">
        <v>14</v>
      </c>
      <c r="S21" s="668">
        <f>F21</f>
        <v>100</v>
      </c>
      <c r="T21" s="667" t="s">
        <v>14</v>
      </c>
      <c r="U21" s="668">
        <f>H21</f>
        <v>100</v>
      </c>
      <c r="V21" s="667" t="s">
        <v>14</v>
      </c>
      <c r="W21" s="668">
        <f>J21</f>
        <v>100</v>
      </c>
      <c r="X21" s="1261"/>
      <c r="Y21" s="340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3"/>
      <c r="Q22" s="1259"/>
      <c r="R22" s="667"/>
      <c r="S22" s="668"/>
      <c r="T22" s="667"/>
      <c r="U22" s="668"/>
      <c r="V22" s="667"/>
      <c r="W22" s="668"/>
      <c r="X22" s="1261"/>
      <c r="Y22" s="3403"/>
      <c r="Z22" s="1260"/>
      <c r="AA22" s="1260">
        <v>1</v>
      </c>
      <c r="AB22" s="1260">
        <v>1</v>
      </c>
      <c r="AC22" s="1260">
        <v>1</v>
      </c>
    </row>
    <row r="23" spans="1:29" ht="71.25">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3"/>
      <c r="Q23" s="1259" t="str">
        <f>B23</f>
        <v>环境质量</v>
      </c>
      <c r="R23" s="667" t="s">
        <v>14</v>
      </c>
      <c r="S23" s="668">
        <f>F23</f>
        <v>100</v>
      </c>
      <c r="T23" s="667" t="s">
        <v>14</v>
      </c>
      <c r="U23" s="668">
        <f>H23</f>
        <v>100</v>
      </c>
      <c r="V23" s="667" t="s">
        <v>14</v>
      </c>
      <c r="W23" s="668">
        <f>J23</f>
        <v>100</v>
      </c>
      <c r="X23" s="1261"/>
      <c r="Y23" s="3403"/>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3"/>
      <c r="Q24" s="1259"/>
      <c r="R24" s="667"/>
      <c r="S24" s="668"/>
      <c r="T24" s="667"/>
      <c r="U24" s="668"/>
      <c r="V24" s="667"/>
      <c r="W24" s="668"/>
      <c r="X24" s="1261"/>
      <c r="Y24" s="3403"/>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3"/>
      <c r="Q25" s="1259">
        <f>B25</f>
        <v>111</v>
      </c>
      <c r="R25" s="667" t="s">
        <v>14</v>
      </c>
      <c r="S25" s="668">
        <f>F25</f>
        <v>100</v>
      </c>
      <c r="T25" s="667" t="s">
        <v>14</v>
      </c>
      <c r="U25" s="668">
        <f>H25</f>
        <v>100</v>
      </c>
      <c r="V25" s="667" t="s">
        <v>14</v>
      </c>
      <c r="W25" s="668">
        <f>J25</f>
        <v>100</v>
      </c>
      <c r="X25" s="1261"/>
      <c r="Y25" s="3403"/>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3"/>
      <c r="Q26" s="1259">
        <f t="shared" ref="Q26:Q40" si="11">B26</f>
        <v>111</v>
      </c>
      <c r="R26" s="667" t="s">
        <v>14</v>
      </c>
      <c r="S26" s="668">
        <f>F26</f>
        <v>100</v>
      </c>
      <c r="T26" s="667" t="s">
        <v>14</v>
      </c>
      <c r="U26" s="668">
        <f>H26</f>
        <v>100</v>
      </c>
      <c r="V26" s="667" t="s">
        <v>14</v>
      </c>
      <c r="W26" s="668">
        <f>J26</f>
        <v>100</v>
      </c>
      <c r="X26" s="1261"/>
      <c r="Y26" s="3403"/>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3"/>
      <c r="Q27" s="530">
        <f t="shared" si="11"/>
        <v>111</v>
      </c>
      <c r="R27" s="664" t="s">
        <v>14</v>
      </c>
      <c r="S27" s="665">
        <f>F27</f>
        <v>100</v>
      </c>
      <c r="T27" s="664" t="s">
        <v>14</v>
      </c>
      <c r="U27" s="665">
        <f>H27</f>
        <v>100</v>
      </c>
      <c r="V27" s="664" t="s">
        <v>14</v>
      </c>
      <c r="W27" s="665">
        <f>J27</f>
        <v>100</v>
      </c>
      <c r="X27" s="666"/>
      <c r="Y27" s="3403"/>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3"/>
      <c r="Q28" s="1259">
        <f t="shared" si="11"/>
        <v>111</v>
      </c>
      <c r="R28" s="667" t="s">
        <v>14</v>
      </c>
      <c r="S28" s="668">
        <f t="shared" ref="S28:S40" si="12">F28</f>
        <v>100</v>
      </c>
      <c r="T28" s="667" t="s">
        <v>14</v>
      </c>
      <c r="U28" s="668">
        <f t="shared" ref="U28:U40" si="13">H28</f>
        <v>100</v>
      </c>
      <c r="V28" s="667" t="s">
        <v>14</v>
      </c>
      <c r="W28" s="668">
        <f t="shared" ref="W28:W40" si="14">J28</f>
        <v>100</v>
      </c>
      <c r="X28" s="1261"/>
      <c r="Y28" s="3403"/>
      <c r="Z28" s="1260">
        <f t="shared" ref="Z28:Z40" si="15">Q28</f>
        <v>111</v>
      </c>
      <c r="AA28" s="1260">
        <f t="shared" si="3"/>
        <v>1</v>
      </c>
      <c r="AB28" s="1260">
        <f t="shared" si="4"/>
        <v>1</v>
      </c>
      <c r="AC28" s="1260">
        <f t="shared" si="5"/>
        <v>1</v>
      </c>
    </row>
    <row r="29" spans="1:29" ht="28.5">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59" t="s">
        <v>1696</v>
      </c>
      <c r="Q29" s="1259" t="str">
        <f t="shared" si="11"/>
        <v>建筑类型</v>
      </c>
      <c r="R29" s="667" t="s">
        <v>14</v>
      </c>
      <c r="S29" s="668">
        <f t="shared" si="12"/>
        <v>100</v>
      </c>
      <c r="T29" s="667" t="s">
        <v>14</v>
      </c>
      <c r="U29" s="668">
        <f t="shared" si="13"/>
        <v>100</v>
      </c>
      <c r="V29" s="667" t="s">
        <v>14</v>
      </c>
      <c r="W29" s="668">
        <f t="shared" si="14"/>
        <v>100</v>
      </c>
      <c r="X29" s="1261"/>
      <c r="Y29" s="3407"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7"/>
      <c r="Q31" s="1259" t="str">
        <f t="shared" si="11"/>
        <v>建筑结构</v>
      </c>
      <c r="R31" s="667" t="s">
        <v>14</v>
      </c>
      <c r="S31" s="668">
        <f t="shared" si="12"/>
        <v>100</v>
      </c>
      <c r="T31" s="667" t="s">
        <v>14</v>
      </c>
      <c r="U31" s="668">
        <f t="shared" si="13"/>
        <v>100</v>
      </c>
      <c r="V31" s="667" t="s">
        <v>14</v>
      </c>
      <c r="W31" s="668">
        <f t="shared" si="14"/>
        <v>100</v>
      </c>
      <c r="X31" s="1261"/>
      <c r="Y31" s="3407"/>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7"/>
      <c r="Q32" s="1259" t="str">
        <f t="shared" si="11"/>
        <v>公共部分装修</v>
      </c>
      <c r="R32" s="667" t="s">
        <v>14</v>
      </c>
      <c r="S32" s="668">
        <f t="shared" si="12"/>
        <v>100</v>
      </c>
      <c r="T32" s="667" t="s">
        <v>14</v>
      </c>
      <c r="U32" s="668">
        <f t="shared" si="13"/>
        <v>100</v>
      </c>
      <c r="V32" s="667" t="s">
        <v>14</v>
      </c>
      <c r="W32" s="668">
        <f t="shared" si="14"/>
        <v>100</v>
      </c>
      <c r="X32" s="1261"/>
      <c r="Y32" s="3407"/>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7"/>
      <c r="Q33" s="1259" t="str">
        <f t="shared" si="11"/>
        <v>成新度</v>
      </c>
      <c r="R33" s="667" t="s">
        <v>14</v>
      </c>
      <c r="S33" s="668" t="e">
        <f t="shared" si="12"/>
        <v>#N/A</v>
      </c>
      <c r="T33" s="667" t="s">
        <v>14</v>
      </c>
      <c r="U33" s="668" t="e">
        <f t="shared" si="13"/>
        <v>#N/A</v>
      </c>
      <c r="V33" s="667" t="s">
        <v>14</v>
      </c>
      <c r="W33" s="668" t="e">
        <f t="shared" si="14"/>
        <v>#N/A</v>
      </c>
      <c r="X33" s="1261"/>
      <c r="Y33" s="3407"/>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7" t="s">
        <v>1696</v>
      </c>
      <c r="Q35" s="1259" t="str">
        <f t="shared" si="11"/>
        <v>市政基础设施</v>
      </c>
      <c r="R35" s="667" t="s">
        <v>14</v>
      </c>
      <c r="S35" s="668">
        <f t="shared" si="12"/>
        <v>100</v>
      </c>
      <c r="T35" s="667" t="s">
        <v>14</v>
      </c>
      <c r="U35" s="668">
        <f t="shared" si="13"/>
        <v>100</v>
      </c>
      <c r="V35" s="667" t="s">
        <v>14</v>
      </c>
      <c r="W35" s="668">
        <f t="shared" si="14"/>
        <v>100</v>
      </c>
      <c r="X35" s="1261"/>
      <c r="Y35" s="3407"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7"/>
      <c r="Q36" s="1259" t="str">
        <f t="shared" si="11"/>
        <v>内部装修</v>
      </c>
      <c r="R36" s="667" t="s">
        <v>14</v>
      </c>
      <c r="S36" s="668">
        <f t="shared" si="12"/>
        <v>100</v>
      </c>
      <c r="T36" s="667" t="s">
        <v>14</v>
      </c>
      <c r="U36" s="668">
        <f t="shared" si="13"/>
        <v>100</v>
      </c>
      <c r="V36" s="667" t="s">
        <v>14</v>
      </c>
      <c r="W36" s="668">
        <f t="shared" si="14"/>
        <v>100</v>
      </c>
      <c r="X36" s="1261"/>
      <c r="Y36" s="3407"/>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7"/>
      <c r="Q37" s="1259" t="str">
        <f t="shared" si="11"/>
        <v>内部装修状况</v>
      </c>
      <c r="R37" s="667" t="s">
        <v>14</v>
      </c>
      <c r="S37" s="668">
        <f t="shared" si="12"/>
        <v>100</v>
      </c>
      <c r="T37" s="667" t="s">
        <v>14</v>
      </c>
      <c r="U37" s="668">
        <f t="shared" si="13"/>
        <v>100</v>
      </c>
      <c r="V37" s="667" t="s">
        <v>14</v>
      </c>
      <c r="W37" s="668">
        <f t="shared" si="14"/>
        <v>100</v>
      </c>
      <c r="X37" s="1261"/>
      <c r="Y37" s="3407"/>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7"/>
      <c r="Q39" s="1259">
        <f t="shared" si="11"/>
        <v>111</v>
      </c>
      <c r="R39" s="667" t="s">
        <v>14</v>
      </c>
      <c r="S39" s="668">
        <f t="shared" si="12"/>
        <v>100</v>
      </c>
      <c r="T39" s="667" t="s">
        <v>14</v>
      </c>
      <c r="U39" s="668">
        <f t="shared" si="13"/>
        <v>100</v>
      </c>
      <c r="V39" s="667" t="s">
        <v>14</v>
      </c>
      <c r="W39" s="668">
        <f t="shared" si="14"/>
        <v>100</v>
      </c>
      <c r="X39" s="1261"/>
      <c r="Y39" s="3407"/>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8"/>
      <c r="Q40" s="1259">
        <f t="shared" si="11"/>
        <v>111</v>
      </c>
      <c r="R40" s="667" t="s">
        <v>14</v>
      </c>
      <c r="S40" s="668">
        <f t="shared" si="12"/>
        <v>100</v>
      </c>
      <c r="T40" s="667" t="s">
        <v>14</v>
      </c>
      <c r="U40" s="668">
        <f t="shared" si="13"/>
        <v>100</v>
      </c>
      <c r="V40" s="667" t="s">
        <v>14</v>
      </c>
      <c r="W40" s="668">
        <f t="shared" si="14"/>
        <v>100</v>
      </c>
      <c r="X40" s="1261"/>
      <c r="Y40" s="3408"/>
      <c r="Z40" s="1260">
        <f t="shared" si="15"/>
        <v>111</v>
      </c>
      <c r="AA40" s="1260">
        <f t="shared" si="3"/>
        <v>1</v>
      </c>
      <c r="AB40" s="1260">
        <f t="shared" si="4"/>
        <v>1</v>
      </c>
      <c r="AC40" s="1260">
        <f t="shared" si="5"/>
        <v>1</v>
      </c>
    </row>
    <row r="41" spans="1:29" ht="15">
      <c r="A41" s="416" t="s">
        <v>1708</v>
      </c>
      <c r="B41" s="417"/>
      <c r="C41" s="1077" t="s">
        <v>0</v>
      </c>
      <c r="D41" s="418"/>
      <c r="E41" s="419"/>
      <c r="F41" s="420"/>
      <c r="G41" s="421"/>
      <c r="H41" s="422"/>
      <c r="I41" s="419"/>
      <c r="J41" s="422"/>
      <c r="K41" s="674"/>
      <c r="L41" s="869"/>
      <c r="M41" s="857"/>
      <c r="N41" s="857"/>
      <c r="O41" s="857"/>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75" thickBot="1">
      <c r="A42" s="423" t="s">
        <v>1793</v>
      </c>
      <c r="B42" s="424"/>
      <c r="C42" s="1078" t="e">
        <f>R43</f>
        <v>#DIV/0!</v>
      </c>
      <c r="D42" s="2135" t="s">
        <v>2138</v>
      </c>
      <c r="E42" s="1079" t="e">
        <f>R42</f>
        <v>#DIV/0!</v>
      </c>
      <c r="F42" s="2136"/>
      <c r="G42" s="1078" t="e">
        <f>T42</f>
        <v>#DIV/0!</v>
      </c>
      <c r="H42" s="2136"/>
      <c r="I42" s="1079" t="e">
        <f>V42</f>
        <v>#DIV/0!</v>
      </c>
      <c r="J42" s="2136"/>
      <c r="K42" s="2138">
        <f>F42+H42+J42</f>
        <v>0</v>
      </c>
      <c r="L42" s="869"/>
      <c r="M42" s="857"/>
      <c r="N42" s="857"/>
      <c r="O42" s="857"/>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69"/>
      <c r="M43" s="857"/>
      <c r="N43" s="857"/>
      <c r="O43" s="857"/>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0"/>
      <c r="B44" s="2480"/>
      <c r="C44" s="2480"/>
      <c r="D44" s="2480"/>
      <c r="E44" s="2480"/>
      <c r="F44" s="2480"/>
      <c r="G44" s="2491"/>
      <c r="H44" s="2480"/>
      <c r="I44" s="2480"/>
      <c r="J44" s="2480"/>
      <c r="K44" s="2492"/>
      <c r="L44" s="832"/>
      <c r="M44" s="857"/>
      <c r="N44" s="857"/>
      <c r="O44" s="857"/>
    </row>
    <row r="45" spans="1:29">
      <c r="A45" s="2480"/>
      <c r="B45" s="2480"/>
      <c r="C45" s="2480"/>
      <c r="D45" s="2480"/>
      <c r="E45" s="2480"/>
      <c r="F45" s="2480"/>
      <c r="G45" s="2480"/>
      <c r="H45" s="2480"/>
      <c r="I45" s="2480"/>
      <c r="J45" s="2480"/>
      <c r="K45" s="2492"/>
      <c r="L45" s="832"/>
      <c r="M45" s="857"/>
      <c r="N45" s="857"/>
      <c r="O45" s="857"/>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2"/>
      <c r="M46" s="857"/>
      <c r="N46" s="857"/>
      <c r="O46" s="857"/>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2"/>
      <c r="M47" s="857"/>
      <c r="N47" s="857"/>
      <c r="O47" s="857"/>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2"/>
      <c r="M48" s="870"/>
      <c r="N48" s="870"/>
      <c r="O48" s="870"/>
    </row>
    <row r="49" spans="1:17" s="437" customFormat="1">
      <c r="A49" s="2490"/>
      <c r="B49" s="2493"/>
      <c r="C49" s="2494"/>
      <c r="D49" s="2490"/>
      <c r="E49" s="2490"/>
      <c r="F49" s="2490"/>
      <c r="G49" s="2490"/>
      <c r="H49" s="2490"/>
      <c r="I49" s="2490"/>
      <c r="J49" s="2490"/>
      <c r="K49" s="2495"/>
      <c r="L49" s="872"/>
      <c r="M49" s="870"/>
      <c r="N49" s="870"/>
      <c r="O49" s="870"/>
    </row>
    <row r="50" spans="1:17">
      <c r="A50" s="2480"/>
      <c r="B50" s="2493"/>
      <c r="C50" s="2494"/>
      <c r="D50" s="2480"/>
      <c r="E50" s="2480"/>
      <c r="F50" s="2480"/>
      <c r="G50" s="2480"/>
      <c r="H50" s="2480"/>
      <c r="I50" s="2480"/>
      <c r="J50" s="2480"/>
      <c r="K50" s="2492"/>
      <c r="L50" s="832"/>
      <c r="M50" s="857"/>
      <c r="N50" s="857"/>
      <c r="O50" s="857"/>
    </row>
    <row r="51" spans="1:17" ht="21.75" thickBot="1">
      <c r="A51" s="658" t="s">
        <v>1798</v>
      </c>
      <c r="B51" s="385"/>
      <c r="C51" s="659"/>
      <c r="D51" s="659"/>
      <c r="E51" s="659"/>
      <c r="F51" s="660"/>
      <c r="G51" s="660"/>
      <c r="H51" s="659"/>
      <c r="I51" s="659"/>
      <c r="J51" s="659"/>
      <c r="K51" s="883"/>
      <c r="L51" s="884"/>
      <c r="M51" s="882"/>
      <c r="N51" s="882"/>
      <c r="O51" s="882"/>
      <c r="P51" s="438"/>
      <c r="Q51" s="439"/>
    </row>
    <row r="52" spans="1:17" s="442" customFormat="1" ht="15">
      <c r="A52" s="440" t="s">
        <v>1679</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1"/>
      <c r="O54" s="2532"/>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3328</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1"/>
      <c r="H3" s="851"/>
      <c r="I3" s="851"/>
      <c r="J3" s="851"/>
      <c r="K3" s="853"/>
      <c r="L3" s="2496"/>
      <c r="M3" s="2497" t="e">
        <f ca="1">IF(C2="——",IF(B37="元/平方米",ROUND(C39*D3/10000,0),ROUND(F3*C39/10000,0)),IF(B37="元/平方米",ROUND(C39*D3/10000,0),ROUND(F3*C39/10000,0))-D2)</f>
        <v>#DIV/0!</v>
      </c>
      <c r="N3" s="2497"/>
      <c r="O3" s="2497"/>
      <c r="P3" s="1082"/>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19" t="s">
        <v>1775</v>
      </c>
      <c r="Q4" s="3420"/>
      <c r="R4" s="3425" t="s">
        <v>1771</v>
      </c>
      <c r="S4" s="3426"/>
      <c r="T4" s="3425" t="s">
        <v>1772</v>
      </c>
      <c r="U4" s="3426"/>
      <c r="V4" s="3401" t="s">
        <v>1773</v>
      </c>
      <c r="W4" s="3401"/>
      <c r="X4" s="1261"/>
      <c r="Y4" s="3425" t="s">
        <v>1775</v>
      </c>
      <c r="Z4" s="3426"/>
      <c r="AA4" s="3412" t="s">
        <v>1771</v>
      </c>
      <c r="AB4" s="3413" t="s">
        <v>1772</v>
      </c>
      <c r="AC4" s="3412" t="s">
        <v>1773</v>
      </c>
    </row>
    <row r="5" spans="1:29" ht="15">
      <c r="A5" s="348"/>
      <c r="B5" s="349"/>
      <c r="C5" s="3442" t="s">
        <v>1673</v>
      </c>
      <c r="D5" s="3439"/>
      <c r="E5" s="3443" t="s">
        <v>1674</v>
      </c>
      <c r="F5" s="3434"/>
      <c r="G5" s="3442" t="s">
        <v>1675</v>
      </c>
      <c r="H5" s="3439"/>
      <c r="I5" s="3442" t="s">
        <v>1676</v>
      </c>
      <c r="J5" s="3439"/>
      <c r="K5" s="537"/>
      <c r="L5" s="2479"/>
      <c r="M5" s="2480"/>
      <c r="N5" s="2480"/>
      <c r="O5" s="2480"/>
      <c r="P5" s="3421"/>
      <c r="Q5" s="3422"/>
      <c r="R5" s="3427"/>
      <c r="S5" s="3428"/>
      <c r="T5" s="3427"/>
      <c r="U5" s="3428"/>
      <c r="V5" s="3401"/>
      <c r="W5" s="3401"/>
      <c r="X5" s="1261"/>
      <c r="Y5" s="3427"/>
      <c r="Z5" s="3428"/>
      <c r="AA5" s="3413"/>
      <c r="AB5" s="3413"/>
      <c r="AC5" s="3413"/>
    </row>
    <row r="6" spans="1:29" ht="15.75" thickBot="1">
      <c r="A6" s="350"/>
      <c r="B6" s="351"/>
      <c r="C6" s="3431" t="s">
        <v>1677</v>
      </c>
      <c r="D6" s="3432"/>
      <c r="E6" s="3440" t="s">
        <v>1677</v>
      </c>
      <c r="F6" s="3441"/>
      <c r="G6" s="3431" t="s">
        <v>1677</v>
      </c>
      <c r="H6" s="3432"/>
      <c r="I6" s="3431" t="s">
        <v>1677</v>
      </c>
      <c r="J6" s="3432"/>
      <c r="K6" s="537" t="s">
        <v>1678</v>
      </c>
      <c r="L6" s="2479"/>
      <c r="M6" s="2480"/>
      <c r="N6" s="2480"/>
      <c r="O6" s="2480"/>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c r="F7" s="357">
        <f>SUMIF(48:48,YEAR(E7)&amp;"-"&amp;MONTH(E7),49:49)</f>
        <v>0</v>
      </c>
      <c r="G7" s="356"/>
      <c r="H7" s="355">
        <f>SUMIF(48:48,YEAR(G7)&amp;"-"&amp;MONTH(G7),49:49)</f>
        <v>0</v>
      </c>
      <c r="I7" s="356"/>
      <c r="J7" s="355">
        <f>SUMIF(48:48,YEAR(I7)&amp;"-"&amp;MONTH(I7),49:49)</f>
        <v>0</v>
      </c>
      <c r="K7" s="38"/>
      <c r="L7" s="2481"/>
      <c r="M7" s="2432"/>
      <c r="N7" s="2432"/>
      <c r="O7" s="2432"/>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2"/>
      <c r="N8" s="2432"/>
      <c r="O8" s="2432"/>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2"/>
      <c r="N9" s="2432"/>
      <c r="O9" s="2432"/>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7">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2"/>
      <c r="N12" s="2432"/>
      <c r="O12" s="2432"/>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85.5">
      <c r="A14" s="345" t="s">
        <v>1690</v>
      </c>
      <c r="B14" s="554" t="s">
        <v>1833</v>
      </c>
      <c r="C14" s="1813" t="str">
        <f>IF(B1="工业",估价对象房地状况!G4,估价对象房地状况!C6)</f>
        <v>估价对象周边有196路、B38路、Y25路等多条公交线路，综合评价交通便捷度一般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02" t="s">
        <v>1691</v>
      </c>
      <c r="Q14" s="1259" t="str">
        <f t="shared" si="6"/>
        <v>交通便捷度</v>
      </c>
      <c r="R14" s="667" t="s">
        <v>14</v>
      </c>
      <c r="S14" s="668">
        <f t="shared" si="0"/>
        <v>100</v>
      </c>
      <c r="T14" s="667" t="s">
        <v>14</v>
      </c>
      <c r="U14" s="668">
        <f t="shared" si="1"/>
        <v>100</v>
      </c>
      <c r="V14" s="667" t="s">
        <v>14</v>
      </c>
      <c r="W14" s="668">
        <f t="shared" si="2"/>
        <v>100</v>
      </c>
      <c r="X14" s="1261"/>
      <c r="Y14" s="3402"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5"/>
      <c r="M15" s="2480"/>
      <c r="N15" s="2480"/>
      <c r="O15" s="2480"/>
      <c r="P15" s="3403"/>
      <c r="Q15" s="1259"/>
      <c r="R15" s="667"/>
      <c r="S15" s="668"/>
      <c r="T15" s="667"/>
      <c r="U15" s="668"/>
      <c r="V15" s="667"/>
      <c r="W15" s="668"/>
      <c r="X15" s="1261"/>
      <c r="Y15" s="3403"/>
      <c r="Z15" s="1260"/>
      <c r="AA15" s="1260">
        <v>1</v>
      </c>
      <c r="AB15" s="1260">
        <v>1</v>
      </c>
      <c r="AC15" s="1260">
        <v>1</v>
      </c>
    </row>
    <row r="16" spans="1:29" ht="327.75">
      <c r="A16" s="348"/>
      <c r="B16" s="556"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03"/>
      <c r="Q16" s="1259" t="str">
        <f>B16</f>
        <v>公共配套设施</v>
      </c>
      <c r="R16" s="667" t="s">
        <v>14</v>
      </c>
      <c r="S16" s="668">
        <f>F16</f>
        <v>100</v>
      </c>
      <c r="T16" s="667" t="s">
        <v>14</v>
      </c>
      <c r="U16" s="668">
        <f>H16</f>
        <v>100</v>
      </c>
      <c r="V16" s="667" t="s">
        <v>14</v>
      </c>
      <c r="W16" s="668">
        <f>J16</f>
        <v>100</v>
      </c>
      <c r="X16" s="1261"/>
      <c r="Y16" s="3403"/>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5"/>
      <c r="M17" s="2480"/>
      <c r="N17" s="2480"/>
      <c r="O17" s="2480"/>
      <c r="P17" s="3403"/>
      <c r="Q17" s="1259"/>
      <c r="R17" s="667"/>
      <c r="S17" s="668"/>
      <c r="T17" s="667"/>
      <c r="U17" s="668"/>
      <c r="V17" s="667"/>
      <c r="W17" s="668"/>
      <c r="X17" s="1261"/>
      <c r="Y17" s="3403"/>
      <c r="Z17" s="1260"/>
      <c r="AA17" s="1260">
        <v>1</v>
      </c>
      <c r="AB17" s="1260">
        <v>1</v>
      </c>
      <c r="AC17" s="1260">
        <v>1</v>
      </c>
    </row>
    <row r="18" spans="1:29" ht="28.5">
      <c r="A18" s="348"/>
      <c r="B18" s="557" t="s">
        <v>1813</v>
      </c>
      <c r="C18" s="1750"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03"/>
      <c r="Q18" s="1259" t="str">
        <f>B18</f>
        <v>基础设施水平</v>
      </c>
      <c r="R18" s="667" t="s">
        <v>14</v>
      </c>
      <c r="S18" s="668">
        <f>F18</f>
        <v>100</v>
      </c>
      <c r="T18" s="667" t="s">
        <v>14</v>
      </c>
      <c r="U18" s="668">
        <f>H18</f>
        <v>100</v>
      </c>
      <c r="V18" s="667" t="s">
        <v>14</v>
      </c>
      <c r="W18" s="668">
        <f>J18</f>
        <v>100</v>
      </c>
      <c r="X18" s="1261"/>
      <c r="Y18" s="3403"/>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5"/>
      <c r="M19" s="2480"/>
      <c r="N19" s="2480"/>
      <c r="O19" s="2480"/>
      <c r="P19" s="3403"/>
      <c r="Q19" s="1259"/>
      <c r="R19" s="667"/>
      <c r="S19" s="668"/>
      <c r="T19" s="667"/>
      <c r="U19" s="668"/>
      <c r="V19" s="667"/>
      <c r="W19" s="668"/>
      <c r="X19" s="1261"/>
      <c r="Y19" s="3403"/>
      <c r="Z19" s="1260"/>
      <c r="AA19" s="1260">
        <v>1</v>
      </c>
      <c r="AB19" s="1260">
        <v>1</v>
      </c>
      <c r="AC19" s="1260">
        <v>1</v>
      </c>
    </row>
    <row r="20" spans="1:29" ht="114">
      <c r="A20" s="348"/>
      <c r="B20" s="556"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03"/>
      <c r="Q20" s="1259" t="str">
        <f>B20</f>
        <v>自然及人文环境</v>
      </c>
      <c r="R20" s="667" t="s">
        <v>14</v>
      </c>
      <c r="S20" s="668">
        <f>F20</f>
        <v>100</v>
      </c>
      <c r="T20" s="667" t="s">
        <v>14</v>
      </c>
      <c r="U20" s="668">
        <f>H20</f>
        <v>100</v>
      </c>
      <c r="V20" s="667" t="s">
        <v>14</v>
      </c>
      <c r="W20" s="668">
        <f>J20</f>
        <v>100</v>
      </c>
      <c r="X20" s="1261"/>
      <c r="Y20" s="3403"/>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5"/>
      <c r="M21" s="2480"/>
      <c r="N21" s="2480"/>
      <c r="O21" s="2480"/>
      <c r="P21" s="3403"/>
      <c r="Q21" s="1259"/>
      <c r="R21" s="667"/>
      <c r="S21" s="668"/>
      <c r="T21" s="667"/>
      <c r="U21" s="668"/>
      <c r="V21" s="667"/>
      <c r="W21" s="668"/>
      <c r="X21" s="1261"/>
      <c r="Y21" s="3403"/>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03"/>
      <c r="Q22" s="1259" t="str">
        <f>B22</f>
        <v>楼层</v>
      </c>
      <c r="R22" s="667" t="s">
        <v>14</v>
      </c>
      <c r="S22" s="668">
        <f>F22</f>
        <v>100</v>
      </c>
      <c r="T22" s="667" t="s">
        <v>14</v>
      </c>
      <c r="U22" s="668">
        <f>H22</f>
        <v>100</v>
      </c>
      <c r="V22" s="667" t="s">
        <v>14</v>
      </c>
      <c r="W22" s="668">
        <f>J22</f>
        <v>100</v>
      </c>
      <c r="X22" s="1261"/>
      <c r="Y22" s="3403"/>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03"/>
      <c r="Q23" s="1259">
        <f>B23</f>
        <v>111</v>
      </c>
      <c r="R23" s="667" t="s">
        <v>14</v>
      </c>
      <c r="S23" s="668">
        <f>F23</f>
        <v>100</v>
      </c>
      <c r="T23" s="667" t="s">
        <v>14</v>
      </c>
      <c r="U23" s="668">
        <f>H23</f>
        <v>100</v>
      </c>
      <c r="V23" s="667" t="s">
        <v>14</v>
      </c>
      <c r="W23" s="668">
        <f>J23</f>
        <v>100</v>
      </c>
      <c r="X23" s="1261"/>
      <c r="Y23" s="3403"/>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03"/>
      <c r="Q24" s="1259">
        <f t="shared" ref="Q24:Q36" si="11">B24</f>
        <v>111</v>
      </c>
      <c r="R24" s="667" t="s">
        <v>14</v>
      </c>
      <c r="S24" s="668">
        <f>F24</f>
        <v>100</v>
      </c>
      <c r="T24" s="667" t="s">
        <v>14</v>
      </c>
      <c r="U24" s="668">
        <f>H24</f>
        <v>100</v>
      </c>
      <c r="V24" s="667" t="s">
        <v>14</v>
      </c>
      <c r="W24" s="668">
        <f>J24</f>
        <v>100</v>
      </c>
      <c r="X24" s="1261"/>
      <c r="Y24" s="3403"/>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2"/>
      <c r="N25" s="2432"/>
      <c r="O25" s="2432"/>
      <c r="P25" s="3403"/>
      <c r="Q25" s="530">
        <f t="shared" si="11"/>
        <v>111</v>
      </c>
      <c r="R25" s="664" t="s">
        <v>14</v>
      </c>
      <c r="S25" s="665">
        <f>F25</f>
        <v>100</v>
      </c>
      <c r="T25" s="664" t="s">
        <v>14</v>
      </c>
      <c r="U25" s="665">
        <f>H25</f>
        <v>100</v>
      </c>
      <c r="V25" s="664" t="s">
        <v>14</v>
      </c>
      <c r="W25" s="665">
        <f>J25</f>
        <v>100</v>
      </c>
      <c r="X25" s="666"/>
      <c r="Y25" s="3403"/>
      <c r="Z25" s="50">
        <f>Q25</f>
        <v>111</v>
      </c>
      <c r="AA25" s="1260">
        <f>D25/F25</f>
        <v>1</v>
      </c>
      <c r="AB25" s="1260">
        <f>D25/H25</f>
        <v>1</v>
      </c>
      <c r="AC25" s="1260">
        <f>D25/J25</f>
        <v>1</v>
      </c>
    </row>
    <row r="26" spans="1:29" ht="28.5">
      <c r="A26" s="574" t="s">
        <v>1694</v>
      </c>
      <c r="B26" s="59" t="s">
        <v>1836</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59"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407"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07"/>
      <c r="Q28" s="1259" t="str">
        <f t="shared" si="11"/>
        <v>公共部分装修</v>
      </c>
      <c r="R28" s="667" t="s">
        <v>14</v>
      </c>
      <c r="S28" s="668">
        <f t="shared" si="12"/>
        <v>100</v>
      </c>
      <c r="T28" s="667" t="s">
        <v>14</v>
      </c>
      <c r="U28" s="668">
        <f t="shared" si="13"/>
        <v>100</v>
      </c>
      <c r="V28" s="667" t="s">
        <v>14</v>
      </c>
      <c r="W28" s="668">
        <f t="shared" si="14"/>
        <v>100</v>
      </c>
      <c r="X28" s="1261"/>
      <c r="Y28" s="3407"/>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07"/>
      <c r="Q29" s="1259" t="str">
        <f t="shared" si="11"/>
        <v>成新率</v>
      </c>
      <c r="R29" s="667" t="s">
        <v>14</v>
      </c>
      <c r="S29" s="668" t="e">
        <f t="shared" si="12"/>
        <v>#N/A</v>
      </c>
      <c r="T29" s="667" t="s">
        <v>14</v>
      </c>
      <c r="U29" s="668" t="e">
        <f t="shared" si="13"/>
        <v>#N/A</v>
      </c>
      <c r="V29" s="667" t="s">
        <v>14</v>
      </c>
      <c r="W29" s="668" t="e">
        <f t="shared" si="14"/>
        <v>#N/A</v>
      </c>
      <c r="X29" s="1261"/>
      <c r="Y29" s="3407"/>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07"/>
      <c r="Q30" s="1259" t="str">
        <f t="shared" si="11"/>
        <v>物业等级</v>
      </c>
      <c r="R30" s="667" t="s">
        <v>14</v>
      </c>
      <c r="S30" s="668">
        <f t="shared" si="12"/>
        <v>100</v>
      </c>
      <c r="T30" s="667" t="s">
        <v>14</v>
      </c>
      <c r="U30" s="668">
        <f t="shared" si="13"/>
        <v>100</v>
      </c>
      <c r="V30" s="667" t="s">
        <v>14</v>
      </c>
      <c r="W30" s="668">
        <f t="shared" si="14"/>
        <v>100</v>
      </c>
      <c r="X30" s="1261"/>
      <c r="Y30" s="3407"/>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2"/>
      <c r="N31" s="2432"/>
      <c r="O31" s="2432"/>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07" t="s">
        <v>1696</v>
      </c>
      <c r="Q32" s="1259" t="str">
        <f t="shared" si="11"/>
        <v>车位类型</v>
      </c>
      <c r="R32" s="667" t="s">
        <v>14</v>
      </c>
      <c r="S32" s="668">
        <f t="shared" si="12"/>
        <v>100</v>
      </c>
      <c r="T32" s="667" t="s">
        <v>14</v>
      </c>
      <c r="U32" s="668">
        <f t="shared" si="13"/>
        <v>100</v>
      </c>
      <c r="V32" s="667" t="s">
        <v>14</v>
      </c>
      <c r="W32" s="668">
        <f t="shared" si="14"/>
        <v>100</v>
      </c>
      <c r="X32" s="1261"/>
      <c r="Y32" s="3407"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07"/>
      <c r="Q33" s="1259" t="str">
        <f t="shared" si="11"/>
        <v>是否直接入户</v>
      </c>
      <c r="R33" s="667" t="s">
        <v>14</v>
      </c>
      <c r="S33" s="668">
        <f t="shared" si="12"/>
        <v>100</v>
      </c>
      <c r="T33" s="667" t="s">
        <v>14</v>
      </c>
      <c r="U33" s="668">
        <f t="shared" si="13"/>
        <v>100</v>
      </c>
      <c r="V33" s="667" t="s">
        <v>14</v>
      </c>
      <c r="W33" s="668">
        <f t="shared" si="14"/>
        <v>100</v>
      </c>
      <c r="X33" s="1261"/>
      <c r="Y33" s="3407"/>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07"/>
      <c r="Q34" s="1259">
        <f t="shared" si="11"/>
        <v>111</v>
      </c>
      <c r="R34" s="667" t="s">
        <v>14</v>
      </c>
      <c r="S34" s="668">
        <f t="shared" si="12"/>
        <v>100</v>
      </c>
      <c r="T34" s="667" t="s">
        <v>14</v>
      </c>
      <c r="U34" s="668">
        <f t="shared" si="13"/>
        <v>100</v>
      </c>
      <c r="V34" s="667" t="s">
        <v>14</v>
      </c>
      <c r="W34" s="668">
        <f t="shared" si="14"/>
        <v>100</v>
      </c>
      <c r="X34" s="1261"/>
      <c r="Y34" s="3407"/>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07"/>
      <c r="Q36" s="1259">
        <f t="shared" si="11"/>
        <v>111</v>
      </c>
      <c r="R36" s="667" t="s">
        <v>14</v>
      </c>
      <c r="S36" s="668">
        <f t="shared" si="12"/>
        <v>100</v>
      </c>
      <c r="T36" s="667" t="s">
        <v>14</v>
      </c>
      <c r="U36" s="668">
        <f t="shared" si="13"/>
        <v>100</v>
      </c>
      <c r="V36" s="667" t="s">
        <v>14</v>
      </c>
      <c r="W36" s="668">
        <f t="shared" si="14"/>
        <v>100</v>
      </c>
      <c r="X36" s="1261"/>
      <c r="Y36" s="3407"/>
      <c r="Z36" s="1260">
        <f t="shared" si="15"/>
        <v>111</v>
      </c>
      <c r="AA36" s="1260">
        <f t="shared" si="3"/>
        <v>1</v>
      </c>
      <c r="AB36" s="1260">
        <f t="shared" si="4"/>
        <v>1</v>
      </c>
      <c r="AC36" s="1260">
        <f t="shared" si="5"/>
        <v>1</v>
      </c>
    </row>
    <row r="37" spans="1:29" ht="15">
      <c r="A37" s="416" t="s">
        <v>1844</v>
      </c>
      <c r="B37" s="1815" t="s">
        <v>3349</v>
      </c>
      <c r="C37" s="1077" t="s">
        <v>0</v>
      </c>
      <c r="D37" s="418"/>
      <c r="E37" s="419"/>
      <c r="F37" s="420"/>
      <c r="G37" s="421"/>
      <c r="H37" s="422"/>
      <c r="I37" s="419"/>
      <c r="J37" s="422"/>
      <c r="K37" s="545"/>
      <c r="L37" s="2487"/>
      <c r="M37" s="2480"/>
      <c r="N37" s="2480"/>
      <c r="O37" s="2480"/>
      <c r="P37" s="3400" t="str">
        <f>A37</f>
        <v>成交单价</v>
      </c>
      <c r="Q37" s="3400"/>
      <c r="R37" s="3401">
        <f>E37</f>
        <v>0</v>
      </c>
      <c r="S37" s="3401"/>
      <c r="T37" s="3401">
        <f>G37</f>
        <v>0</v>
      </c>
      <c r="U37" s="3401"/>
      <c r="V37" s="3401">
        <f>I37</f>
        <v>0</v>
      </c>
      <c r="W37" s="3401"/>
      <c r="X37" s="385"/>
      <c r="Y37" s="673"/>
      <c r="Z37" s="385"/>
      <c r="AA37" s="385"/>
      <c r="AB37" s="385"/>
      <c r="AC37" s="385"/>
    </row>
    <row r="38" spans="1:29" ht="15.75" thickBot="1">
      <c r="A38" s="423" t="s">
        <v>1845</v>
      </c>
      <c r="B38" s="424" t="str">
        <f>B37</f>
        <v>元/平方米</v>
      </c>
      <c r="C38" s="1078" t="e">
        <f>R39</f>
        <v>#DIV/0!</v>
      </c>
      <c r="D38" s="2135" t="s">
        <v>2138</v>
      </c>
      <c r="E38" s="1079" t="e">
        <f>R38</f>
        <v>#DIV/0!</v>
      </c>
      <c r="F38" s="2136"/>
      <c r="G38" s="1078" t="e">
        <f>T38</f>
        <v>#DIV/0!</v>
      </c>
      <c r="H38" s="2136"/>
      <c r="I38" s="1079" t="e">
        <f>V38</f>
        <v>#DIV/0!</v>
      </c>
      <c r="J38" s="2136"/>
      <c r="K38" s="2138">
        <f>F38+H38+J38</f>
        <v>0</v>
      </c>
      <c r="L38" s="2487"/>
      <c r="M38" s="2480"/>
      <c r="N38" s="2480"/>
      <c r="O38" s="2480"/>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7"/>
      <c r="M39" s="2480"/>
      <c r="N39" s="2480"/>
      <c r="O39" s="2480"/>
      <c r="P39" s="3397" t="str">
        <f>A39</f>
        <v>估价对象XX用房的比较价值（楼面单价，元/平方米）</v>
      </c>
      <c r="Q39" s="3398"/>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3" t="s">
        <v>1850</v>
      </c>
      <c r="B47" s="857"/>
      <c r="C47" s="882"/>
      <c r="D47" s="882"/>
      <c r="E47" s="882"/>
      <c r="F47" s="1084"/>
      <c r="G47" s="1084"/>
      <c r="H47" s="882"/>
      <c r="I47" s="882"/>
      <c r="J47" s="882"/>
      <c r="K47" s="883"/>
      <c r="L47" s="884"/>
      <c r="M47" s="882"/>
      <c r="N47" s="2530"/>
      <c r="O47" s="2530"/>
      <c r="P47" s="2519"/>
      <c r="Q47" s="2501"/>
      <c r="R47" s="2480"/>
      <c r="S47" s="2480"/>
      <c r="T47" s="2480"/>
      <c r="U47" s="2480"/>
      <c r="V47" s="2480"/>
      <c r="W47" s="2480"/>
      <c r="X47" s="2480"/>
      <c r="Y47" s="2480"/>
      <c r="Z47" s="2480"/>
      <c r="AA47" s="2480"/>
      <c r="AB47" s="2480"/>
      <c r="AC47" s="2480"/>
    </row>
    <row r="48" spans="1:29" s="442" customFormat="1" ht="15">
      <c r="A48" s="440" t="s">
        <v>1851</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0"/>
      <c r="Q48" s="2503"/>
      <c r="R48" s="2503"/>
      <c r="S48" s="2503"/>
      <c r="T48" s="2503"/>
      <c r="U48" s="2503"/>
      <c r="V48" s="2503"/>
      <c r="W48" s="2503"/>
      <c r="X48" s="2503"/>
      <c r="Y48" s="2503"/>
      <c r="Z48" s="2503"/>
      <c r="AA48" s="2503"/>
      <c r="AB48" s="2503"/>
      <c r="AC48" s="2503"/>
    </row>
    <row r="49" spans="1:29" s="102" customFormat="1" ht="15">
      <c r="A49" s="443"/>
      <c r="B49" s="444"/>
      <c r="C49" s="1093">
        <v>100</v>
      </c>
      <c r="D49" s="446"/>
      <c r="E49" s="446"/>
      <c r="F49" s="446"/>
      <c r="G49" s="446"/>
      <c r="H49" s="446"/>
      <c r="I49" s="446"/>
      <c r="J49" s="446"/>
      <c r="K49" s="446"/>
      <c r="L49" s="446"/>
      <c r="M49" s="447"/>
      <c r="N49" s="446"/>
      <c r="O49" s="447"/>
      <c r="P49" s="2521"/>
      <c r="Q49" s="2432"/>
      <c r="R49" s="2432"/>
      <c r="S49" s="2432"/>
      <c r="T49" s="2432"/>
      <c r="U49" s="2432"/>
      <c r="V49" s="2432"/>
      <c r="W49" s="2432"/>
      <c r="X49" s="2432"/>
      <c r="Y49" s="2432"/>
      <c r="Z49" s="2432"/>
      <c r="AA49" s="2432"/>
      <c r="AB49" s="2432"/>
      <c r="AC49" s="2432"/>
    </row>
    <row r="50" spans="1:29" s="102" customFormat="1" ht="15.75" thickBot="1">
      <c r="A50" s="449" t="s">
        <v>1716</v>
      </c>
      <c r="B50" s="450"/>
      <c r="C50" s="451"/>
      <c r="D50" s="452"/>
      <c r="E50" s="452"/>
      <c r="F50" s="452"/>
      <c r="G50" s="452"/>
      <c r="H50" s="452"/>
      <c r="I50" s="452"/>
      <c r="J50" s="452"/>
      <c r="K50" s="452"/>
      <c r="L50" s="452"/>
      <c r="M50" s="453"/>
      <c r="N50" s="452"/>
      <c r="O50" s="453"/>
      <c r="P50" s="2521"/>
      <c r="Q50" s="2501"/>
      <c r="R50" s="2432"/>
      <c r="S50" s="2432"/>
      <c r="T50" s="2432"/>
      <c r="U50" s="2432"/>
      <c r="V50" s="2432"/>
      <c r="W50" s="2432"/>
      <c r="X50" s="2432"/>
      <c r="Y50" s="2432"/>
      <c r="Z50" s="2432"/>
      <c r="AA50" s="2432"/>
      <c r="AB50" s="2432"/>
      <c r="AC50" s="2432"/>
    </row>
    <row r="51" spans="1:29" s="102" customFormat="1" ht="15">
      <c r="A51" s="455" t="s">
        <v>1681</v>
      </c>
      <c r="B51" s="444"/>
      <c r="C51" s="456" t="s">
        <v>1776</v>
      </c>
      <c r="D51" s="31"/>
      <c r="E51" s="31"/>
      <c r="F51" s="31"/>
      <c r="G51" s="31"/>
      <c r="H51" s="31"/>
      <c r="I51" s="31"/>
      <c r="J51" s="31"/>
      <c r="K51" s="31"/>
      <c r="L51" s="457"/>
      <c r="M51" s="458"/>
      <c r="N51" s="2513"/>
      <c r="O51" s="2513"/>
      <c r="P51" s="2522"/>
      <c r="Q51" s="2501"/>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2"/>
      <c r="S52" s="2432"/>
      <c r="T52" s="2432"/>
      <c r="U52" s="2432"/>
      <c r="V52" s="2432"/>
      <c r="W52" s="2432"/>
      <c r="X52" s="2432"/>
      <c r="Y52" s="2432"/>
      <c r="Z52" s="2432"/>
      <c r="AA52" s="2432"/>
      <c r="AB52" s="2432"/>
      <c r="AC52" s="2432"/>
    </row>
    <row r="53" spans="1:29">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1813</v>
      </c>
      <c r="C67" s="581" t="s">
        <v>1799</v>
      </c>
      <c r="D67" s="581" t="s">
        <v>1800</v>
      </c>
      <c r="E67" s="581" t="s">
        <v>1801</v>
      </c>
      <c r="F67" s="581" t="s">
        <v>1802</v>
      </c>
      <c r="G67" s="581" t="s">
        <v>1803</v>
      </c>
      <c r="H67" s="470"/>
      <c r="I67" s="470"/>
      <c r="J67" s="470"/>
      <c r="K67" s="470"/>
      <c r="L67" s="470"/>
      <c r="M67" s="1059"/>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5"/>
      <c r="O76" s="2515"/>
      <c r="P76" s="2523"/>
      <c r="Q76" s="2501"/>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3329</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19" t="s">
        <v>1775</v>
      </c>
      <c r="Q4" s="3420"/>
      <c r="R4" s="3425" t="s">
        <v>1771</v>
      </c>
      <c r="S4" s="3426"/>
      <c r="T4" s="3425" t="s">
        <v>1772</v>
      </c>
      <c r="U4" s="3426"/>
      <c r="V4" s="3401" t="s">
        <v>1773</v>
      </c>
      <c r="W4" s="3401"/>
      <c r="X4" s="1261"/>
      <c r="Y4" s="3425" t="s">
        <v>1775</v>
      </c>
      <c r="Z4" s="3426"/>
      <c r="AA4" s="3412" t="s">
        <v>1771</v>
      </c>
      <c r="AB4" s="3413" t="s">
        <v>1772</v>
      </c>
      <c r="AC4" s="3412" t="s">
        <v>1773</v>
      </c>
    </row>
    <row r="5" spans="1:29" ht="15">
      <c r="A5" s="348"/>
      <c r="B5" s="349"/>
      <c r="C5" s="3442" t="s">
        <v>1673</v>
      </c>
      <c r="D5" s="3439"/>
      <c r="E5" s="3443" t="s">
        <v>1674</v>
      </c>
      <c r="F5" s="3434"/>
      <c r="G5" s="3442" t="s">
        <v>1675</v>
      </c>
      <c r="H5" s="3439"/>
      <c r="I5" s="3442" t="s">
        <v>1676</v>
      </c>
      <c r="J5" s="3439"/>
      <c r="K5" s="537"/>
      <c r="L5" s="2479"/>
      <c r="M5" s="2480"/>
      <c r="N5" s="2480"/>
      <c r="O5" s="2480"/>
      <c r="P5" s="3421"/>
      <c r="Q5" s="3422"/>
      <c r="R5" s="3427"/>
      <c r="S5" s="3428"/>
      <c r="T5" s="3427"/>
      <c r="U5" s="3428"/>
      <c r="V5" s="3401"/>
      <c r="W5" s="3401"/>
      <c r="X5" s="1261"/>
      <c r="Y5" s="3427"/>
      <c r="Z5" s="3428"/>
      <c r="AA5" s="3413"/>
      <c r="AB5" s="3413"/>
      <c r="AC5" s="3413"/>
    </row>
    <row r="6" spans="1:29" ht="15.75" thickBot="1">
      <c r="A6" s="350"/>
      <c r="B6" s="351"/>
      <c r="C6" s="3431" t="s">
        <v>1677</v>
      </c>
      <c r="D6" s="3432"/>
      <c r="E6" s="3440" t="s">
        <v>1677</v>
      </c>
      <c r="F6" s="3441"/>
      <c r="G6" s="3431" t="s">
        <v>1677</v>
      </c>
      <c r="H6" s="3432"/>
      <c r="I6" s="3431" t="s">
        <v>1677</v>
      </c>
      <c r="J6" s="3432"/>
      <c r="K6" s="537" t="s">
        <v>1678</v>
      </c>
      <c r="L6" s="2479"/>
      <c r="M6" s="2480"/>
      <c r="N6" s="2480"/>
      <c r="O6" s="2480"/>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c r="F7" s="357">
        <f>SUMIF(46:46,YEAR(E7)&amp;"-"&amp;MONTH(E7),47:47)</f>
        <v>0</v>
      </c>
      <c r="G7" s="1816"/>
      <c r="H7" s="355">
        <f>SUMIF(46:46,YEAR(G7)&amp;"-"&amp;MONTH(G7),47:47)</f>
        <v>0</v>
      </c>
      <c r="I7" s="356"/>
      <c r="J7" s="355">
        <f>SUMIF(46:46,YEAR(I7)&amp;"-"&amp;MONTH(I7),47:47)</f>
        <v>0</v>
      </c>
      <c r="K7" s="38"/>
      <c r="L7" s="2481"/>
      <c r="M7" s="2432"/>
      <c r="N7" s="2432"/>
      <c r="O7" s="2432"/>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2"/>
      <c r="N8" s="2432"/>
      <c r="O8" s="2432"/>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2"/>
      <c r="N9" s="2432"/>
      <c r="O9" s="2533"/>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7">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2"/>
      <c r="N12" s="2432"/>
      <c r="O12" s="2533"/>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5"/>
      <c r="M13" s="2480"/>
      <c r="N13" s="2480"/>
      <c r="O13" s="2535"/>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85.5">
      <c r="A14" s="379" t="s">
        <v>1690</v>
      </c>
      <c r="B14" s="58" t="s">
        <v>1833</v>
      </c>
      <c r="C14" s="1813" t="str">
        <f>IF(B1="工业",估价对象房地状况!G4,估价对象房地状况!C6)</f>
        <v>估价对象周边有196路、B38路、Y25路等多条公交线路，综合评价交通便捷度一般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02" t="s">
        <v>1691</v>
      </c>
      <c r="Q14" s="1259" t="str">
        <f t="shared" si="6"/>
        <v>交通便捷度</v>
      </c>
      <c r="R14" s="667" t="s">
        <v>14</v>
      </c>
      <c r="S14" s="668">
        <f t="shared" si="0"/>
        <v>100</v>
      </c>
      <c r="T14" s="667" t="s">
        <v>14</v>
      </c>
      <c r="U14" s="668">
        <f t="shared" si="1"/>
        <v>100</v>
      </c>
      <c r="V14" s="667" t="s">
        <v>14</v>
      </c>
      <c r="W14" s="668">
        <f t="shared" si="2"/>
        <v>100</v>
      </c>
      <c r="X14" s="1261"/>
      <c r="Y14" s="3402"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5"/>
      <c r="M15" s="2480"/>
      <c r="N15" s="2480"/>
      <c r="O15" s="2535"/>
      <c r="P15" s="3403"/>
      <c r="Q15" s="1259"/>
      <c r="R15" s="667"/>
      <c r="S15" s="668"/>
      <c r="T15" s="667"/>
      <c r="U15" s="668"/>
      <c r="V15" s="667"/>
      <c r="W15" s="668"/>
      <c r="X15" s="1261"/>
      <c r="Y15" s="3403"/>
      <c r="Z15" s="1260"/>
      <c r="AA15" s="1260">
        <v>1</v>
      </c>
      <c r="AB15" s="1260">
        <v>1</v>
      </c>
      <c r="AC15" s="1260">
        <v>1</v>
      </c>
    </row>
    <row r="16" spans="1:29" ht="327.75">
      <c r="A16" s="367"/>
      <c r="B16" s="390"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03"/>
      <c r="Q16" s="1259" t="str">
        <f>B16</f>
        <v>公共配套设施</v>
      </c>
      <c r="R16" s="667" t="s">
        <v>14</v>
      </c>
      <c r="S16" s="668">
        <f>F16</f>
        <v>100</v>
      </c>
      <c r="T16" s="667" t="s">
        <v>14</v>
      </c>
      <c r="U16" s="668">
        <f>H16</f>
        <v>100</v>
      </c>
      <c r="V16" s="667" t="s">
        <v>14</v>
      </c>
      <c r="W16" s="668">
        <f>J16</f>
        <v>100</v>
      </c>
      <c r="X16" s="1261"/>
      <c r="Y16" s="3403"/>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5"/>
      <c r="M17" s="2480"/>
      <c r="N17" s="2480"/>
      <c r="O17" s="2535"/>
      <c r="P17" s="3403"/>
      <c r="Q17" s="1259"/>
      <c r="R17" s="667"/>
      <c r="S17" s="668"/>
      <c r="T17" s="667"/>
      <c r="U17" s="668"/>
      <c r="V17" s="667"/>
      <c r="W17" s="668"/>
      <c r="X17" s="1261"/>
      <c r="Y17" s="3403"/>
      <c r="Z17" s="1260"/>
      <c r="AA17" s="1260">
        <v>1</v>
      </c>
      <c r="AB17" s="1260">
        <v>1</v>
      </c>
      <c r="AC17" s="1260">
        <v>1</v>
      </c>
    </row>
    <row r="18" spans="1:29" ht="28.5">
      <c r="A18" s="367"/>
      <c r="B18" s="586" t="s">
        <v>1813</v>
      </c>
      <c r="C18" s="1750"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03"/>
      <c r="Q18" s="1259" t="str">
        <f>B18</f>
        <v>基础设施水平</v>
      </c>
      <c r="R18" s="667" t="s">
        <v>14</v>
      </c>
      <c r="S18" s="668">
        <f>F18</f>
        <v>100</v>
      </c>
      <c r="T18" s="667" t="s">
        <v>14</v>
      </c>
      <c r="U18" s="668">
        <f>H18</f>
        <v>100</v>
      </c>
      <c r="V18" s="667" t="s">
        <v>14</v>
      </c>
      <c r="W18" s="668">
        <f>J18</f>
        <v>100</v>
      </c>
      <c r="X18" s="1261"/>
      <c r="Y18" s="3403"/>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5"/>
      <c r="M19" s="2480"/>
      <c r="N19" s="2480"/>
      <c r="O19" s="2535"/>
      <c r="P19" s="3403"/>
      <c r="Q19" s="1259"/>
      <c r="R19" s="667"/>
      <c r="S19" s="668"/>
      <c r="T19" s="667"/>
      <c r="U19" s="668"/>
      <c r="V19" s="667"/>
      <c r="W19" s="668"/>
      <c r="X19" s="1261"/>
      <c r="Y19" s="3403"/>
      <c r="Z19" s="1260"/>
      <c r="AA19" s="1260">
        <v>1</v>
      </c>
      <c r="AB19" s="1260">
        <v>1</v>
      </c>
      <c r="AC19" s="1260">
        <v>1</v>
      </c>
    </row>
    <row r="20" spans="1:29" ht="114">
      <c r="A20" s="367"/>
      <c r="B20" s="390"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03"/>
      <c r="Q20" s="1259" t="str">
        <f>B20</f>
        <v>自然及人文环境</v>
      </c>
      <c r="R20" s="667" t="s">
        <v>14</v>
      </c>
      <c r="S20" s="668">
        <f>F20</f>
        <v>100</v>
      </c>
      <c r="T20" s="667" t="s">
        <v>14</v>
      </c>
      <c r="U20" s="668">
        <f>H20</f>
        <v>100</v>
      </c>
      <c r="V20" s="667" t="s">
        <v>14</v>
      </c>
      <c r="W20" s="668">
        <f>J20</f>
        <v>100</v>
      </c>
      <c r="X20" s="1261"/>
      <c r="Y20" s="3403"/>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5"/>
      <c r="M21" s="2480"/>
      <c r="N21" s="2480"/>
      <c r="O21" s="2535"/>
      <c r="P21" s="3403"/>
      <c r="Q21" s="1259"/>
      <c r="R21" s="667"/>
      <c r="S21" s="668"/>
      <c r="T21" s="667"/>
      <c r="U21" s="668"/>
      <c r="V21" s="667"/>
      <c r="W21" s="668"/>
      <c r="X21" s="1261"/>
      <c r="Y21" s="3403"/>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03"/>
      <c r="Q22" s="1259" t="str">
        <f>B22</f>
        <v>楼层</v>
      </c>
      <c r="R22" s="667" t="s">
        <v>14</v>
      </c>
      <c r="S22" s="668">
        <f>F22</f>
        <v>100</v>
      </c>
      <c r="T22" s="667" t="s">
        <v>14</v>
      </c>
      <c r="U22" s="668">
        <f>H22</f>
        <v>100</v>
      </c>
      <c r="V22" s="667" t="s">
        <v>14</v>
      </c>
      <c r="W22" s="668">
        <f>J22</f>
        <v>100</v>
      </c>
      <c r="X22" s="1261"/>
      <c r="Y22" s="3403"/>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03"/>
      <c r="Q23" s="1259">
        <f>B23</f>
        <v>111</v>
      </c>
      <c r="R23" s="667" t="s">
        <v>14</v>
      </c>
      <c r="S23" s="668">
        <f>F23</f>
        <v>100</v>
      </c>
      <c r="T23" s="667" t="s">
        <v>14</v>
      </c>
      <c r="U23" s="668">
        <f>H23</f>
        <v>100</v>
      </c>
      <c r="V23" s="667" t="s">
        <v>14</v>
      </c>
      <c r="W23" s="668">
        <f>J23</f>
        <v>100</v>
      </c>
      <c r="X23" s="1261"/>
      <c r="Y23" s="3403"/>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03"/>
      <c r="Q24" s="1259">
        <f t="shared" ref="Q24:Q34" si="11">B24</f>
        <v>111</v>
      </c>
      <c r="R24" s="667" t="s">
        <v>14</v>
      </c>
      <c r="S24" s="668">
        <f>F24</f>
        <v>100</v>
      </c>
      <c r="T24" s="667" t="s">
        <v>14</v>
      </c>
      <c r="U24" s="668">
        <f>H24</f>
        <v>100</v>
      </c>
      <c r="V24" s="667" t="s">
        <v>14</v>
      </c>
      <c r="W24" s="668">
        <f>J24</f>
        <v>100</v>
      </c>
      <c r="X24" s="1261"/>
      <c r="Y24" s="3403"/>
      <c r="Z24" s="1260">
        <f>Q24</f>
        <v>111</v>
      </c>
      <c r="AA24" s="1260">
        <f t="shared" si="3"/>
        <v>1</v>
      </c>
      <c r="AB24" s="1260">
        <f t="shared" si="4"/>
        <v>1</v>
      </c>
      <c r="AC24" s="1260">
        <f t="shared" si="5"/>
        <v>1</v>
      </c>
    </row>
    <row r="25" spans="1:29" s="102" customFormat="1" ht="15.75" thickBot="1">
      <c r="A25" s="370"/>
      <c r="B25" s="447">
        <v>111</v>
      </c>
      <c r="C25" s="1818"/>
      <c r="D25" s="557">
        <v>100</v>
      </c>
      <c r="E25" s="1818"/>
      <c r="F25" s="586">
        <f>SUMIF(75:75,E25,76:76)-SUMIF(75:75,C25,76:76)+100</f>
        <v>100</v>
      </c>
      <c r="G25" s="1818"/>
      <c r="H25" s="557">
        <f>SUMIF(75:75,G25,76:76)-SUMIF(75:75,C25,76:76)+100</f>
        <v>100</v>
      </c>
      <c r="I25" s="1818"/>
      <c r="J25" s="557">
        <f>SUMIF(75:75,I25,76:76)-SUMIF(75:75,C25,76:76)+100</f>
        <v>100</v>
      </c>
      <c r="K25" s="539"/>
      <c r="L25" s="2481"/>
      <c r="M25" s="2432"/>
      <c r="N25" s="2432"/>
      <c r="O25" s="2533"/>
      <c r="P25" s="3403"/>
      <c r="Q25" s="530">
        <f t="shared" si="11"/>
        <v>111</v>
      </c>
      <c r="R25" s="664" t="s">
        <v>14</v>
      </c>
      <c r="S25" s="665">
        <f>F25</f>
        <v>100</v>
      </c>
      <c r="T25" s="664" t="s">
        <v>14</v>
      </c>
      <c r="U25" s="665">
        <f>H25</f>
        <v>100</v>
      </c>
      <c r="V25" s="664" t="s">
        <v>14</v>
      </c>
      <c r="W25" s="665">
        <f>J25</f>
        <v>100</v>
      </c>
      <c r="X25" s="666"/>
      <c r="Y25" s="3403"/>
      <c r="Z25" s="50">
        <f>Q25</f>
        <v>111</v>
      </c>
      <c r="AA25" s="1260">
        <f>D25/F25</f>
        <v>1</v>
      </c>
      <c r="AB25" s="1260">
        <f>D25/H25</f>
        <v>1</v>
      </c>
      <c r="AC25" s="1260">
        <f>D25/J25</f>
        <v>1</v>
      </c>
    </row>
    <row r="26" spans="1:29" ht="28.5">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5"/>
      <c r="M26" s="2480"/>
      <c r="N26" s="2480"/>
      <c r="O26" s="2535"/>
      <c r="P26" s="3459"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07"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07"/>
      <c r="Q28" s="1259" t="str">
        <f t="shared" si="11"/>
        <v>物业等级</v>
      </c>
      <c r="R28" s="667" t="s">
        <v>14</v>
      </c>
      <c r="S28" s="668">
        <f t="shared" si="12"/>
        <v>100</v>
      </c>
      <c r="T28" s="667" t="s">
        <v>14</v>
      </c>
      <c r="U28" s="668">
        <f t="shared" si="13"/>
        <v>100</v>
      </c>
      <c r="V28" s="667" t="s">
        <v>14</v>
      </c>
      <c r="W28" s="668">
        <f t="shared" si="14"/>
        <v>100</v>
      </c>
      <c r="X28" s="1261"/>
      <c r="Y28" s="3407"/>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07"/>
      <c r="Q29" s="1259" t="str">
        <f t="shared" si="11"/>
        <v>有无电梯</v>
      </c>
      <c r="R29" s="667" t="s">
        <v>14</v>
      </c>
      <c r="S29" s="668">
        <f t="shared" si="12"/>
        <v>100</v>
      </c>
      <c r="T29" s="667" t="s">
        <v>14</v>
      </c>
      <c r="U29" s="668">
        <f t="shared" si="13"/>
        <v>100</v>
      </c>
      <c r="V29" s="667" t="s">
        <v>14</v>
      </c>
      <c r="W29" s="668">
        <f t="shared" si="14"/>
        <v>100</v>
      </c>
      <c r="X29" s="1261"/>
      <c r="Y29" s="3407"/>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07"/>
      <c r="Q30" s="1259" t="str">
        <f t="shared" si="11"/>
        <v>建筑面积</v>
      </c>
      <c r="R30" s="667" t="s">
        <v>14</v>
      </c>
      <c r="S30" s="668" t="e">
        <f t="shared" si="12"/>
        <v>#N/A</v>
      </c>
      <c r="T30" s="667" t="s">
        <v>14</v>
      </c>
      <c r="U30" s="668" t="e">
        <f t="shared" si="13"/>
        <v>#N/A</v>
      </c>
      <c r="V30" s="667" t="s">
        <v>14</v>
      </c>
      <c r="W30" s="668" t="e">
        <f t="shared" si="14"/>
        <v>#N/A</v>
      </c>
      <c r="X30" s="1261"/>
      <c r="Y30" s="3407"/>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2"/>
      <c r="N31" s="2432"/>
      <c r="O31" s="2533"/>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07" t="s">
        <v>1696</v>
      </c>
      <c r="Q32" s="1259">
        <f t="shared" si="11"/>
        <v>111</v>
      </c>
      <c r="R32" s="667" t="s">
        <v>14</v>
      </c>
      <c r="S32" s="668">
        <f t="shared" si="12"/>
        <v>100</v>
      </c>
      <c r="T32" s="667" t="s">
        <v>14</v>
      </c>
      <c r="U32" s="668">
        <f t="shared" si="13"/>
        <v>100</v>
      </c>
      <c r="V32" s="667" t="s">
        <v>14</v>
      </c>
      <c r="W32" s="668">
        <f t="shared" si="14"/>
        <v>100</v>
      </c>
      <c r="X32" s="1261"/>
      <c r="Y32" s="3407"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07"/>
      <c r="Q33" s="1259">
        <f t="shared" si="11"/>
        <v>111</v>
      </c>
      <c r="R33" s="667" t="s">
        <v>14</v>
      </c>
      <c r="S33" s="668">
        <f t="shared" si="12"/>
        <v>100</v>
      </c>
      <c r="T33" s="667" t="s">
        <v>14</v>
      </c>
      <c r="U33" s="668">
        <f t="shared" si="13"/>
        <v>100</v>
      </c>
      <c r="V33" s="667" t="s">
        <v>14</v>
      </c>
      <c r="W33" s="668">
        <f t="shared" si="14"/>
        <v>100</v>
      </c>
      <c r="X33" s="1261"/>
      <c r="Y33" s="3407"/>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5"/>
      <c r="M34" s="2480"/>
      <c r="N34" s="2480"/>
      <c r="O34" s="2535"/>
      <c r="P34" s="3407"/>
      <c r="Q34" s="1259">
        <f t="shared" si="11"/>
        <v>111</v>
      </c>
      <c r="R34" s="667" t="s">
        <v>14</v>
      </c>
      <c r="S34" s="668">
        <f t="shared" si="12"/>
        <v>100</v>
      </c>
      <c r="T34" s="667" t="s">
        <v>14</v>
      </c>
      <c r="U34" s="668">
        <f t="shared" si="13"/>
        <v>100</v>
      </c>
      <c r="V34" s="667" t="s">
        <v>14</v>
      </c>
      <c r="W34" s="668">
        <f t="shared" si="14"/>
        <v>100</v>
      </c>
      <c r="X34" s="1261"/>
      <c r="Y34" s="3407"/>
      <c r="Z34" s="1260">
        <f t="shared" si="15"/>
        <v>111</v>
      </c>
      <c r="AA34" s="1260">
        <f t="shared" si="3"/>
        <v>1</v>
      </c>
      <c r="AB34" s="1260">
        <f t="shared" si="4"/>
        <v>1</v>
      </c>
      <c r="AC34" s="1260">
        <f t="shared" si="5"/>
        <v>1</v>
      </c>
    </row>
    <row r="35" spans="1:30" ht="15">
      <c r="A35" s="416" t="s">
        <v>1708</v>
      </c>
      <c r="B35" s="417"/>
      <c r="C35" s="1077" t="s">
        <v>0</v>
      </c>
      <c r="D35" s="418"/>
      <c r="E35" s="419"/>
      <c r="F35" s="420"/>
      <c r="G35" s="421"/>
      <c r="H35" s="422"/>
      <c r="I35" s="419"/>
      <c r="J35" s="422"/>
      <c r="K35" s="674"/>
      <c r="L35" s="2487"/>
      <c r="M35" s="2480"/>
      <c r="N35" s="2480"/>
      <c r="O35" s="2480"/>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75" thickBot="1">
      <c r="A36" s="423" t="s">
        <v>1793</v>
      </c>
      <c r="B36" s="424"/>
      <c r="C36" s="1078" t="e">
        <f>R37</f>
        <v>#DIV/0!</v>
      </c>
      <c r="D36" s="2135" t="s">
        <v>2138</v>
      </c>
      <c r="E36" s="1079" t="e">
        <f>R36</f>
        <v>#DIV/0!</v>
      </c>
      <c r="F36" s="2136"/>
      <c r="G36" s="1078" t="e">
        <f>T36</f>
        <v>#DIV/0!</v>
      </c>
      <c r="H36" s="2136"/>
      <c r="I36" s="1079" t="e">
        <f>V36</f>
        <v>#DIV/0!</v>
      </c>
      <c r="J36" s="2136"/>
      <c r="K36" s="2138">
        <f>F36+H36+J36</f>
        <v>0</v>
      </c>
      <c r="L36" s="2487"/>
      <c r="M36" s="2480"/>
      <c r="N36" s="2480"/>
      <c r="O36" s="2480"/>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7"/>
      <c r="M37" s="2480"/>
      <c r="N37" s="2480"/>
      <c r="O37" s="2480"/>
      <c r="P37" s="3397" t="str">
        <f>A37</f>
        <v>估价对象XX用房的比较价值（楼面单价，元/平方米）</v>
      </c>
      <c r="Q37" s="3398"/>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1679</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8">
        <v>100</v>
      </c>
      <c r="D47" s="446"/>
      <c r="E47" s="446"/>
      <c r="F47" s="446"/>
      <c r="G47" s="446"/>
      <c r="H47" s="446"/>
      <c r="I47" s="446"/>
      <c r="J47" s="446"/>
      <c r="K47" s="446"/>
      <c r="L47" s="446"/>
      <c r="M47" s="447"/>
      <c r="N47" s="446"/>
      <c r="O47" s="448"/>
      <c r="P47" s="2501"/>
      <c r="Q47" s="2432"/>
      <c r="R47" s="2432"/>
      <c r="S47" s="2432"/>
      <c r="T47" s="2432"/>
      <c r="U47" s="2432"/>
      <c r="V47" s="2432"/>
      <c r="W47" s="2432"/>
      <c r="X47" s="2432"/>
      <c r="Y47" s="2432"/>
      <c r="Z47" s="2432"/>
      <c r="AA47" s="2432"/>
      <c r="AB47" s="2432"/>
      <c r="AC47" s="2432"/>
      <c r="AD47" s="2432"/>
    </row>
    <row r="48" spans="1:30" s="102" customFormat="1" ht="15.75" thickBot="1">
      <c r="A48" s="449" t="s">
        <v>1716</v>
      </c>
      <c r="B48" s="450"/>
      <c r="C48" s="451"/>
      <c r="D48" s="452"/>
      <c r="E48" s="452"/>
      <c r="F48" s="452"/>
      <c r="G48" s="452"/>
      <c r="H48" s="452"/>
      <c r="I48" s="452"/>
      <c r="J48" s="452"/>
      <c r="K48" s="452"/>
      <c r="L48" s="452"/>
      <c r="M48" s="453"/>
      <c r="N48" s="452"/>
      <c r="O48" s="454"/>
      <c r="P48" s="2501"/>
      <c r="Q48" s="2501"/>
      <c r="R48" s="2432"/>
      <c r="S48" s="2432"/>
      <c r="T48" s="2432"/>
      <c r="U48" s="2432"/>
      <c r="V48" s="2432"/>
      <c r="W48" s="2432"/>
      <c r="X48" s="2432"/>
      <c r="Y48" s="2432"/>
      <c r="Z48" s="2432"/>
      <c r="AA48" s="2432"/>
      <c r="AB48" s="2432"/>
      <c r="AC48" s="2432"/>
      <c r="AD48" s="2432"/>
    </row>
    <row r="49" spans="1:30" s="102" customFormat="1" ht="15">
      <c r="A49" s="455" t="s">
        <v>1681</v>
      </c>
      <c r="B49" s="444"/>
      <c r="C49" s="456" t="s">
        <v>1776</v>
      </c>
      <c r="D49" s="31"/>
      <c r="E49" s="31"/>
      <c r="F49" s="31"/>
      <c r="G49" s="31"/>
      <c r="H49" s="31"/>
      <c r="I49" s="31"/>
      <c r="J49" s="31"/>
      <c r="K49" s="31"/>
      <c r="L49" s="457"/>
      <c r="M49" s="458"/>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2"/>
      <c r="S50" s="2432"/>
      <c r="T50" s="2432"/>
      <c r="U50" s="2432"/>
      <c r="V50" s="2432"/>
      <c r="W50" s="2432"/>
      <c r="X50" s="2432"/>
      <c r="Y50" s="2432"/>
      <c r="Z50" s="2432"/>
      <c r="AA50" s="2432"/>
      <c r="AB50" s="2432"/>
      <c r="AC50" s="2432"/>
      <c r="AD50" s="2432"/>
    </row>
    <row r="51" spans="1:30">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1813</v>
      </c>
      <c r="C65" s="581" t="s">
        <v>1799</v>
      </c>
      <c r="D65" s="581" t="s">
        <v>1800</v>
      </c>
      <c r="E65" s="581" t="s">
        <v>1801</v>
      </c>
      <c r="F65" s="581" t="s">
        <v>1802</v>
      </c>
      <c r="G65" s="581" t="s">
        <v>1803</v>
      </c>
      <c r="H65" s="470"/>
      <c r="I65" s="470"/>
      <c r="J65" s="470"/>
      <c r="K65" s="470"/>
      <c r="L65" s="470"/>
      <c r="M65" s="1059"/>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8"/>
      <c r="B98" s="878"/>
      <c r="C98" s="878"/>
      <c r="D98" s="878"/>
      <c r="E98" s="878"/>
      <c r="F98" s="878"/>
      <c r="G98" s="878"/>
      <c r="H98" s="878"/>
      <c r="I98" s="878"/>
      <c r="J98" s="878"/>
      <c r="K98" s="879"/>
      <c r="L98" s="880"/>
      <c r="M98" s="878"/>
      <c r="N98" s="2480"/>
      <c r="O98" s="2480"/>
      <c r="P98" s="2480"/>
      <c r="Q98" s="2480"/>
      <c r="R98" s="2480"/>
      <c r="S98" s="2480"/>
      <c r="T98" s="2480"/>
      <c r="U98" s="2480"/>
      <c r="V98" s="2480"/>
      <c r="W98" s="2480"/>
      <c r="X98" s="2480"/>
      <c r="Y98" s="2480"/>
      <c r="Z98" s="2480"/>
      <c r="AA98" s="2480"/>
      <c r="AB98" s="2480"/>
      <c r="AC98" s="2480"/>
      <c r="AD98" s="2480"/>
    </row>
    <row r="99" spans="1:30">
      <c r="A99" s="878"/>
      <c r="B99" s="878"/>
      <c r="C99" s="878"/>
      <c r="D99" s="878"/>
      <c r="E99" s="878"/>
      <c r="F99" s="878"/>
      <c r="G99" s="878"/>
      <c r="H99" s="878"/>
      <c r="I99" s="878"/>
      <c r="J99" s="878"/>
      <c r="K99" s="879"/>
      <c r="L99" s="880"/>
      <c r="M99" s="878"/>
      <c r="N99" s="2480"/>
      <c r="O99" s="2480"/>
      <c r="P99" s="2480"/>
      <c r="Q99" s="2480"/>
      <c r="R99" s="2480"/>
      <c r="S99" s="2480"/>
      <c r="T99" s="2480"/>
      <c r="U99" s="2480"/>
      <c r="V99" s="2480"/>
      <c r="W99" s="2480"/>
      <c r="X99" s="2480"/>
      <c r="Y99" s="2480"/>
      <c r="Z99" s="2480"/>
      <c r="AA99" s="2480"/>
      <c r="AB99" s="2480"/>
      <c r="AC99" s="2480"/>
      <c r="AD99" s="2480"/>
    </row>
    <row r="100" spans="1:30">
      <c r="A100" s="878"/>
      <c r="B100" s="878"/>
      <c r="C100" s="878"/>
      <c r="D100" s="878"/>
      <c r="E100" s="878"/>
      <c r="F100" s="878"/>
      <c r="G100" s="878"/>
      <c r="H100" s="878"/>
      <c r="I100" s="878"/>
      <c r="J100" s="878"/>
      <c r="K100" s="879"/>
      <c r="L100" s="880"/>
      <c r="M100" s="878"/>
      <c r="N100" s="2480"/>
      <c r="O100" s="2480"/>
      <c r="P100" s="2480"/>
      <c r="Q100" s="2480"/>
      <c r="R100" s="2480"/>
      <c r="S100" s="2480"/>
      <c r="T100" s="2480"/>
      <c r="U100" s="2480"/>
      <c r="V100" s="2480"/>
      <c r="W100" s="2480"/>
      <c r="X100" s="2480"/>
      <c r="Y100" s="2480"/>
      <c r="Z100" s="2480"/>
      <c r="AA100" s="2480"/>
      <c r="AB100" s="2480"/>
      <c r="AC100" s="2480"/>
      <c r="AD100" s="2480"/>
    </row>
    <row r="101" spans="1:30">
      <c r="A101" s="878"/>
      <c r="B101" s="878"/>
      <c r="C101" s="878"/>
      <c r="D101" s="878"/>
      <c r="E101" s="878"/>
      <c r="F101" s="878"/>
      <c r="G101" s="878"/>
      <c r="H101" s="878"/>
      <c r="I101" s="878"/>
      <c r="J101" s="878"/>
      <c r="K101" s="879"/>
      <c r="L101" s="880"/>
      <c r="M101" s="878"/>
      <c r="N101" s="2480"/>
      <c r="O101" s="2480"/>
      <c r="P101" s="2480"/>
      <c r="Q101" s="2480"/>
      <c r="R101" s="2480"/>
      <c r="S101" s="2480"/>
      <c r="T101" s="2480"/>
      <c r="U101" s="2480"/>
      <c r="V101" s="2480"/>
      <c r="W101" s="2480"/>
      <c r="X101" s="2480"/>
      <c r="Y101" s="2480"/>
      <c r="Z101" s="2480"/>
      <c r="AA101" s="2480"/>
      <c r="AB101" s="2480"/>
      <c r="AC101" s="2480"/>
      <c r="AD101" s="2480"/>
    </row>
    <row r="102" spans="1:30">
      <c r="A102" s="878"/>
      <c r="B102" s="878"/>
      <c r="C102" s="878"/>
      <c r="D102" s="878"/>
      <c r="E102" s="878"/>
      <c r="F102" s="878"/>
      <c r="G102" s="878"/>
      <c r="H102" s="878"/>
      <c r="I102" s="878"/>
      <c r="J102" s="878"/>
      <c r="K102" s="879"/>
      <c r="L102" s="880"/>
      <c r="M102" s="878"/>
      <c r="N102" s="2480"/>
      <c r="O102" s="2480"/>
      <c r="P102" s="2480"/>
      <c r="Q102" s="2480"/>
      <c r="R102" s="2480"/>
      <c r="S102" s="2480"/>
      <c r="T102" s="2480"/>
      <c r="U102" s="2480"/>
      <c r="V102" s="2480"/>
      <c r="W102" s="2480"/>
      <c r="X102" s="2480"/>
      <c r="Y102" s="2480"/>
      <c r="Z102" s="2480"/>
      <c r="AA102" s="2480"/>
      <c r="AB102" s="2480"/>
      <c r="AC102" s="2480"/>
      <c r="AD102" s="2480"/>
    </row>
    <row r="103" spans="1:30">
      <c r="A103" s="878"/>
      <c r="B103" s="878"/>
      <c r="C103" s="878"/>
      <c r="D103" s="878"/>
      <c r="E103" s="878"/>
      <c r="F103" s="878"/>
      <c r="G103" s="878"/>
      <c r="H103" s="878"/>
      <c r="I103" s="878"/>
      <c r="J103" s="878"/>
      <c r="K103" s="879"/>
      <c r="L103" s="880"/>
      <c r="M103" s="878"/>
      <c r="N103" s="878"/>
      <c r="O103" s="878"/>
      <c r="P103" s="2480"/>
      <c r="Q103" s="2480"/>
      <c r="R103" s="2480"/>
      <c r="S103" s="2480"/>
      <c r="T103" s="2480"/>
      <c r="U103" s="2480"/>
      <c r="V103" s="2480"/>
      <c r="W103" s="2480"/>
      <c r="X103" s="2480"/>
      <c r="Y103" s="2480"/>
      <c r="Z103" s="2480"/>
      <c r="AA103" s="2480"/>
      <c r="AB103" s="2480"/>
      <c r="AC103" s="2480"/>
      <c r="AD103" s="2480"/>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0"/>
      <c r="D2" s="850"/>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19" t="s">
        <v>1775</v>
      </c>
      <c r="Q4" s="3420"/>
      <c r="R4" s="3425" t="s">
        <v>1771</v>
      </c>
      <c r="S4" s="3426"/>
      <c r="T4" s="3425" t="s">
        <v>1772</v>
      </c>
      <c r="U4" s="3426"/>
      <c r="V4" s="3401" t="s">
        <v>1773</v>
      </c>
      <c r="W4" s="3401"/>
      <c r="X4" s="1261"/>
      <c r="Y4" s="3425" t="s">
        <v>1775</v>
      </c>
      <c r="Z4" s="3426"/>
      <c r="AA4" s="3412" t="s">
        <v>1771</v>
      </c>
      <c r="AB4" s="3413" t="s">
        <v>1772</v>
      </c>
      <c r="AC4" s="3412" t="s">
        <v>1773</v>
      </c>
    </row>
    <row r="5" spans="1:29" ht="15">
      <c r="A5" s="348"/>
      <c r="B5" s="349"/>
      <c r="C5" s="3442" t="s">
        <v>1673</v>
      </c>
      <c r="D5" s="3439"/>
      <c r="E5" s="3443" t="s">
        <v>1674</v>
      </c>
      <c r="F5" s="3434"/>
      <c r="G5" s="3442" t="s">
        <v>1675</v>
      </c>
      <c r="H5" s="3439"/>
      <c r="I5" s="3442" t="s">
        <v>1676</v>
      </c>
      <c r="J5" s="3439"/>
      <c r="K5" s="537"/>
      <c r="L5" s="2479"/>
      <c r="M5" s="2480"/>
      <c r="N5" s="2480"/>
      <c r="O5" s="2480"/>
      <c r="P5" s="3421"/>
      <c r="Q5" s="3422"/>
      <c r="R5" s="3427"/>
      <c r="S5" s="3428"/>
      <c r="T5" s="3427"/>
      <c r="U5" s="3428"/>
      <c r="V5" s="3401"/>
      <c r="W5" s="3401"/>
      <c r="X5" s="1261"/>
      <c r="Y5" s="3427"/>
      <c r="Z5" s="3428"/>
      <c r="AA5" s="3413"/>
      <c r="AB5" s="3413"/>
      <c r="AC5" s="3413"/>
    </row>
    <row r="6" spans="1:29" ht="15.75" thickBot="1">
      <c r="A6" s="350"/>
      <c r="B6" s="351"/>
      <c r="C6" s="3431" t="s">
        <v>1677</v>
      </c>
      <c r="D6" s="3432"/>
      <c r="E6" s="3440" t="s">
        <v>1677</v>
      </c>
      <c r="F6" s="3441"/>
      <c r="G6" s="3431" t="s">
        <v>1677</v>
      </c>
      <c r="H6" s="3432"/>
      <c r="I6" s="3431" t="s">
        <v>1677</v>
      </c>
      <c r="J6" s="3432"/>
      <c r="K6" s="537" t="s">
        <v>1678</v>
      </c>
      <c r="L6" s="2479"/>
      <c r="M6" s="2480"/>
      <c r="N6" s="2480"/>
      <c r="O6" s="2480"/>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c r="F7" s="357">
        <f>SUMIF(69:69,YEAR(E7)&amp;"-"&amp;INT((MONTH(E7)+2)/3),70:70)</f>
        <v>0</v>
      </c>
      <c r="G7" s="1816"/>
      <c r="H7" s="355">
        <f>SUMIF(69:69,YEAR(G7)&amp;"-"&amp;INT((MONTH(G7)+2)/3),70:70)</f>
        <v>0</v>
      </c>
      <c r="I7" s="1816"/>
      <c r="J7" s="355">
        <f>SUMIF(69:69,YEAR(I7)&amp;"-"&amp;INT((MONTH(I7)+2)/3),70:70)</f>
        <v>0</v>
      </c>
      <c r="K7" s="38"/>
      <c r="L7" s="2481"/>
      <c r="M7" s="2432"/>
      <c r="N7" s="2432"/>
      <c r="O7" s="2432"/>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2"/>
      <c r="N8" s="2432"/>
      <c r="O8" s="2432"/>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c r="A9" s="359"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1"/>
      <c r="M9" s="2432"/>
      <c r="N9" s="2432"/>
      <c r="O9" s="2533"/>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2"/>
      <c r="N12" s="2432"/>
      <c r="O12" s="2533"/>
      <c r="P12" s="3400"/>
      <c r="Q12" s="530" t="str">
        <f t="shared" si="6"/>
        <v>配建</v>
      </c>
      <c r="R12" s="664" t="s">
        <v>14</v>
      </c>
      <c r="S12" s="665">
        <f t="shared" si="0"/>
        <v>100</v>
      </c>
      <c r="T12" s="664" t="s">
        <v>14</v>
      </c>
      <c r="U12" s="665">
        <f t="shared" si="1"/>
        <v>100</v>
      </c>
      <c r="V12" s="664" t="s">
        <v>14</v>
      </c>
      <c r="W12" s="665">
        <f t="shared" si="2"/>
        <v>100</v>
      </c>
      <c r="X12" s="666"/>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D14/F14</f>
        <v>1</v>
      </c>
      <c r="AB14" s="50">
        <f>D14/H14</f>
        <v>1</v>
      </c>
      <c r="AC14" s="50">
        <f>D14/J14</f>
        <v>1</v>
      </c>
    </row>
    <row r="15" spans="1:29" ht="85.5">
      <c r="A15" s="379" t="s">
        <v>1690</v>
      </c>
      <c r="B15" s="58" t="s">
        <v>1257</v>
      </c>
      <c r="C15" s="1746" t="str">
        <f>估价对象房地状况!C15</f>
        <v>周边有阳光嘉苑、瑞祥花园、园田花园、四月天等住宅小区，居住社区成熟度较好。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02" t="s">
        <v>1691</v>
      </c>
      <c r="Q15" s="1259" t="str">
        <f t="shared" si="6"/>
        <v>居住社区成熟度</v>
      </c>
      <c r="R15" s="667" t="s">
        <v>14</v>
      </c>
      <c r="S15" s="668">
        <f t="shared" si="0"/>
        <v>100</v>
      </c>
      <c r="T15" s="667" t="s">
        <v>14</v>
      </c>
      <c r="U15" s="668">
        <f t="shared" si="1"/>
        <v>100</v>
      </c>
      <c r="V15" s="667" t="s">
        <v>14</v>
      </c>
      <c r="W15" s="668">
        <f t="shared" si="2"/>
        <v>100</v>
      </c>
      <c r="X15" s="1261"/>
      <c r="Y15" s="3402"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5"/>
      <c r="M16" s="2480"/>
      <c r="N16" s="2480"/>
      <c r="O16" s="2535"/>
      <c r="P16" s="3403"/>
      <c r="Q16" s="1259"/>
      <c r="R16" s="667"/>
      <c r="S16" s="668"/>
      <c r="T16" s="667"/>
      <c r="U16" s="668"/>
      <c r="V16" s="667"/>
      <c r="W16" s="668"/>
      <c r="X16" s="1261"/>
      <c r="Y16" s="3403"/>
      <c r="Z16" s="1260"/>
      <c r="AA16" s="1260">
        <v>1</v>
      </c>
      <c r="AB16" s="1260">
        <v>1</v>
      </c>
      <c r="AC16" s="1260">
        <v>1</v>
      </c>
    </row>
    <row r="17" spans="1:29" ht="99.75">
      <c r="A17" s="367"/>
      <c r="B17" s="390" t="s">
        <v>1777</v>
      </c>
      <c r="C17" s="1800"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03"/>
      <c r="Q17" s="1259" t="str">
        <f>B17</f>
        <v>商业繁华度</v>
      </c>
      <c r="R17" s="667" t="s">
        <v>14</v>
      </c>
      <c r="S17" s="668">
        <f>F17</f>
        <v>100</v>
      </c>
      <c r="T17" s="667" t="s">
        <v>14</v>
      </c>
      <c r="U17" s="668">
        <f>H17</f>
        <v>100</v>
      </c>
      <c r="V17" s="667" t="s">
        <v>14</v>
      </c>
      <c r="W17" s="668">
        <f>J17</f>
        <v>100</v>
      </c>
      <c r="X17" s="1261"/>
      <c r="Y17" s="3403"/>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5"/>
      <c r="M18" s="2480"/>
      <c r="N18" s="2480"/>
      <c r="O18" s="2535"/>
      <c r="P18" s="3403"/>
      <c r="Q18" s="1259"/>
      <c r="R18" s="667"/>
      <c r="S18" s="668"/>
      <c r="T18" s="667"/>
      <c r="U18" s="668"/>
      <c r="V18" s="667"/>
      <c r="W18" s="668"/>
      <c r="X18" s="1261"/>
      <c r="Y18" s="3403"/>
      <c r="Z18" s="1260"/>
      <c r="AA18" s="1260">
        <v>1</v>
      </c>
      <c r="AB18" s="1260">
        <v>1</v>
      </c>
      <c r="AC18" s="1260">
        <v>1</v>
      </c>
    </row>
    <row r="19" spans="1:29" ht="99.75">
      <c r="A19" s="367"/>
      <c r="B19" s="390" t="s">
        <v>1811</v>
      </c>
      <c r="C19" s="1800"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03"/>
      <c r="Q19" s="1259" t="str">
        <f>B19</f>
        <v>办公集聚程度</v>
      </c>
      <c r="R19" s="667" t="s">
        <v>14</v>
      </c>
      <c r="S19" s="668">
        <f>F19</f>
        <v>100</v>
      </c>
      <c r="T19" s="667" t="s">
        <v>14</v>
      </c>
      <c r="U19" s="668">
        <f>H19</f>
        <v>100</v>
      </c>
      <c r="V19" s="667" t="s">
        <v>14</v>
      </c>
      <c r="W19" s="668">
        <f>J19</f>
        <v>100</v>
      </c>
      <c r="X19" s="1261"/>
      <c r="Y19" s="3403"/>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5"/>
      <c r="M20" s="2480"/>
      <c r="N20" s="2480"/>
      <c r="O20" s="2535"/>
      <c r="P20" s="3403"/>
      <c r="Q20" s="1259"/>
      <c r="R20" s="667"/>
      <c r="S20" s="668"/>
      <c r="T20" s="667"/>
      <c r="U20" s="668"/>
      <c r="V20" s="667"/>
      <c r="W20" s="668"/>
      <c r="X20" s="1261"/>
      <c r="Y20" s="3403"/>
      <c r="Z20" s="1260"/>
      <c r="AA20" s="1260">
        <v>1</v>
      </c>
      <c r="AB20" s="1260">
        <v>1</v>
      </c>
      <c r="AC20" s="1260">
        <v>1</v>
      </c>
    </row>
    <row r="21" spans="1:29" ht="85.5">
      <c r="A21" s="367"/>
      <c r="B21" s="390" t="s">
        <v>1833</v>
      </c>
      <c r="C21" s="1750" t="str">
        <f>估价对象房地状况!C18</f>
        <v>估价对象周边有196路、B38路、Y25路等多条公交线路，综合评价交通便捷度一般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03"/>
      <c r="Q21" s="1259" t="str">
        <f>B21</f>
        <v>交通便捷度</v>
      </c>
      <c r="R21" s="667" t="s">
        <v>14</v>
      </c>
      <c r="S21" s="668">
        <f>F21</f>
        <v>100</v>
      </c>
      <c r="T21" s="667" t="s">
        <v>14</v>
      </c>
      <c r="U21" s="668">
        <f>H21</f>
        <v>100</v>
      </c>
      <c r="V21" s="667" t="s">
        <v>14</v>
      </c>
      <c r="W21" s="668">
        <f>J21</f>
        <v>100</v>
      </c>
      <c r="X21" s="1261"/>
      <c r="Y21" s="3403"/>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5"/>
      <c r="M22" s="2480"/>
      <c r="N22" s="2480"/>
      <c r="O22" s="2535"/>
      <c r="P22" s="3403"/>
      <c r="Q22" s="1259"/>
      <c r="R22" s="667"/>
      <c r="S22" s="668"/>
      <c r="T22" s="667"/>
      <c r="U22" s="668"/>
      <c r="V22" s="667"/>
      <c r="W22" s="668"/>
      <c r="X22" s="1261"/>
      <c r="Y22" s="3403"/>
      <c r="Z22" s="1260"/>
      <c r="AA22" s="1260">
        <v>1</v>
      </c>
      <c r="AB22" s="1260">
        <v>1</v>
      </c>
      <c r="AC22" s="1260">
        <v>1</v>
      </c>
    </row>
    <row r="23" spans="1:29" ht="15">
      <c r="A23" s="348"/>
      <c r="B23" s="390" t="s">
        <v>1871</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03"/>
      <c r="Q23" s="1259" t="str">
        <f t="shared" ref="Q23:Q37" si="8">B23</f>
        <v>区域土地利用方向</v>
      </c>
      <c r="R23" s="667" t="s">
        <v>14</v>
      </c>
      <c r="S23" s="668">
        <f>F23</f>
        <v>100</v>
      </c>
      <c r="T23" s="667" t="s">
        <v>14</v>
      </c>
      <c r="U23" s="668">
        <f>H23</f>
        <v>100</v>
      </c>
      <c r="V23" s="667" t="s">
        <v>14</v>
      </c>
      <c r="W23" s="668">
        <f>J23</f>
        <v>100</v>
      </c>
      <c r="X23" s="1261"/>
      <c r="Y23" s="3403"/>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5"/>
      <c r="M24" s="2480"/>
      <c r="N24" s="2480"/>
      <c r="O24" s="2535"/>
      <c r="P24" s="3403"/>
      <c r="Q24" s="1259"/>
      <c r="R24" s="667"/>
      <c r="S24" s="668"/>
      <c r="T24" s="667"/>
      <c r="U24" s="668"/>
      <c r="V24" s="667"/>
      <c r="W24" s="668"/>
      <c r="X24" s="1261"/>
      <c r="Y24" s="3403"/>
      <c r="Z24" s="1260"/>
      <c r="AA24" s="1260"/>
      <c r="AB24" s="1260"/>
      <c r="AC24" s="1260"/>
    </row>
    <row r="25" spans="1:29" ht="114">
      <c r="A25" s="348"/>
      <c r="B25" s="586" t="s">
        <v>1872</v>
      </c>
      <c r="C25" s="1800" t="str">
        <f>估价对象房地状况!C20</f>
        <v>估价对象周边有河南省体育场馆中心、郑州海洋馆等人文景观，东风渠水系等自然景观，综合评价环境状况较好。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03"/>
      <c r="Q25" s="1259" t="str">
        <f t="shared" si="8"/>
        <v>自然及人文环境状况</v>
      </c>
      <c r="R25" s="667" t="s">
        <v>14</v>
      </c>
      <c r="S25" s="668">
        <f>F25</f>
        <v>100</v>
      </c>
      <c r="T25" s="667" t="s">
        <v>14</v>
      </c>
      <c r="U25" s="668">
        <f>H25</f>
        <v>100</v>
      </c>
      <c r="V25" s="667" t="s">
        <v>14</v>
      </c>
      <c r="W25" s="668">
        <f>J25</f>
        <v>100</v>
      </c>
      <c r="X25" s="1261"/>
      <c r="Y25" s="3403"/>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5"/>
      <c r="M26" s="2480"/>
      <c r="N26" s="2480"/>
      <c r="O26" s="2535"/>
      <c r="P26" s="3403"/>
      <c r="Q26" s="1259"/>
      <c r="R26" s="667"/>
      <c r="S26" s="668"/>
      <c r="T26" s="667"/>
      <c r="U26" s="668"/>
      <c r="V26" s="667"/>
      <c r="W26" s="668"/>
      <c r="X26" s="1261"/>
      <c r="Y26" s="3403"/>
      <c r="Z26" s="1260"/>
      <c r="AA26" s="1260">
        <v>1</v>
      </c>
      <c r="AB26" s="1260">
        <v>1</v>
      </c>
      <c r="AC26" s="1260">
        <v>1</v>
      </c>
    </row>
    <row r="27" spans="1:29" s="102" customFormat="1" ht="327.75">
      <c r="A27" s="443"/>
      <c r="B27" s="586" t="s">
        <v>1778</v>
      </c>
      <c r="C27" s="1750"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2"/>
      <c r="N27" s="2432"/>
      <c r="O27" s="2533"/>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0">
        <f>D27/F27</f>
        <v>1</v>
      </c>
      <c r="AB27" s="1260">
        <f>D27/H27</f>
        <v>1</v>
      </c>
      <c r="AC27" s="1260">
        <f>D27/J27</f>
        <v>1</v>
      </c>
    </row>
    <row r="28" spans="1:29" s="102" customFormat="1" ht="15">
      <c r="A28" s="443"/>
      <c r="B28" s="395"/>
      <c r="C28" s="1820"/>
      <c r="D28" s="387"/>
      <c r="E28" s="1754"/>
      <c r="F28" s="387"/>
      <c r="G28" s="1754"/>
      <c r="H28" s="387"/>
      <c r="I28" s="386"/>
      <c r="J28" s="387"/>
      <c r="K28" s="592"/>
      <c r="L28" s="2481"/>
      <c r="M28" s="2432"/>
      <c r="N28" s="2432"/>
      <c r="O28" s="2533"/>
      <c r="P28" s="3403"/>
      <c r="Q28" s="530"/>
      <c r="R28" s="664"/>
      <c r="S28" s="665"/>
      <c r="T28" s="664"/>
      <c r="U28" s="665"/>
      <c r="V28" s="664"/>
      <c r="W28" s="665"/>
      <c r="X28" s="666"/>
      <c r="Y28" s="3403"/>
      <c r="Z28" s="50"/>
      <c r="AA28" s="1260">
        <v>1</v>
      </c>
      <c r="AB28" s="1260">
        <v>1</v>
      </c>
      <c r="AC28" s="1260">
        <v>1</v>
      </c>
    </row>
    <row r="29" spans="1:29" s="102" customFormat="1" ht="28.5">
      <c r="A29" s="443"/>
      <c r="B29" s="586" t="s">
        <v>1779</v>
      </c>
      <c r="C29" s="1750"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2"/>
      <c r="N29" s="2432"/>
      <c r="O29" s="2533"/>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0">
        <f>D29/F29</f>
        <v>1</v>
      </c>
      <c r="AB29" s="1260">
        <f>D29/H29</f>
        <v>1</v>
      </c>
      <c r="AC29" s="1260">
        <f>D29/J29</f>
        <v>1</v>
      </c>
    </row>
    <row r="30" spans="1:29" s="102" customFormat="1" ht="15">
      <c r="A30" s="443"/>
      <c r="B30" s="395"/>
      <c r="C30" s="1820"/>
      <c r="D30" s="387"/>
      <c r="E30" s="1821"/>
      <c r="F30" s="387"/>
      <c r="G30" s="1821"/>
      <c r="H30" s="387"/>
      <c r="I30" s="1821"/>
      <c r="J30" s="387"/>
      <c r="K30" s="592"/>
      <c r="L30" s="2481"/>
      <c r="M30" s="2432"/>
      <c r="N30" s="2432"/>
      <c r="O30" s="2533"/>
      <c r="P30" s="3403"/>
      <c r="Q30" s="530"/>
      <c r="R30" s="664"/>
      <c r="S30" s="665"/>
      <c r="T30" s="664"/>
      <c r="U30" s="665"/>
      <c r="V30" s="664"/>
      <c r="W30" s="665"/>
      <c r="X30" s="666"/>
      <c r="Y30" s="3403"/>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03"/>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03"/>
      <c r="Z31" s="1260" t="str">
        <f t="shared" ref="Z31:Z45" si="13">Q31</f>
        <v>临街状况</v>
      </c>
      <c r="AA31" s="1260">
        <f t="shared" si="3"/>
        <v>1</v>
      </c>
      <c r="AB31" s="1260">
        <f t="shared" si="4"/>
        <v>1</v>
      </c>
      <c r="AC31" s="1260">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03"/>
      <c r="Q32" s="1259" t="str">
        <f t="shared" si="8"/>
        <v>毗邻道路的类型与等级</v>
      </c>
      <c r="R32" s="667" t="s">
        <v>14</v>
      </c>
      <c r="S32" s="668">
        <f t="shared" si="10"/>
        <v>100</v>
      </c>
      <c r="T32" s="667" t="s">
        <v>14</v>
      </c>
      <c r="U32" s="668">
        <f t="shared" si="11"/>
        <v>100</v>
      </c>
      <c r="V32" s="667" t="s">
        <v>14</v>
      </c>
      <c r="W32" s="668">
        <f t="shared" si="12"/>
        <v>100</v>
      </c>
      <c r="X32" s="1261"/>
      <c r="Y32" s="3403"/>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5"/>
      <c r="M33" s="2480"/>
      <c r="N33" s="2480"/>
      <c r="O33" s="2535"/>
      <c r="P33" s="3403"/>
      <c r="Q33" s="1259"/>
      <c r="R33" s="667"/>
      <c r="S33" s="668"/>
      <c r="T33" s="667"/>
      <c r="U33" s="668"/>
      <c r="V33" s="667"/>
      <c r="W33" s="668"/>
      <c r="X33" s="1261"/>
      <c r="Y33" s="3403"/>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03"/>
      <c r="Q34" s="1259" t="str">
        <f t="shared" si="8"/>
        <v>土地级别</v>
      </c>
      <c r="R34" s="667" t="s">
        <v>14</v>
      </c>
      <c r="S34" s="668">
        <f t="shared" si="10"/>
        <v>100</v>
      </c>
      <c r="T34" s="667" t="s">
        <v>14</v>
      </c>
      <c r="U34" s="668">
        <f t="shared" si="11"/>
        <v>100</v>
      </c>
      <c r="V34" s="667" t="s">
        <v>14</v>
      </c>
      <c r="W34" s="668">
        <f t="shared" si="12"/>
        <v>100</v>
      </c>
      <c r="X34" s="1261"/>
      <c r="Y34" s="3403"/>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03"/>
      <c r="Q35" s="1259">
        <f t="shared" si="8"/>
        <v>111</v>
      </c>
      <c r="R35" s="667" t="s">
        <v>14</v>
      </c>
      <c r="S35" s="668">
        <f t="shared" si="10"/>
        <v>100</v>
      </c>
      <c r="T35" s="667" t="s">
        <v>14</v>
      </c>
      <c r="U35" s="668">
        <f t="shared" si="11"/>
        <v>100</v>
      </c>
      <c r="V35" s="667" t="s">
        <v>14</v>
      </c>
      <c r="W35" s="668">
        <f t="shared" si="12"/>
        <v>100</v>
      </c>
      <c r="X35" s="1261"/>
      <c r="Y35" s="3403"/>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59" t="s">
        <v>1696</v>
      </c>
      <c r="Q36" s="1259">
        <f t="shared" si="8"/>
        <v>111</v>
      </c>
      <c r="R36" s="667" t="s">
        <v>14</v>
      </c>
      <c r="S36" s="668">
        <f t="shared" si="10"/>
        <v>100</v>
      </c>
      <c r="T36" s="667" t="s">
        <v>14</v>
      </c>
      <c r="U36" s="668">
        <f t="shared" si="11"/>
        <v>100</v>
      </c>
      <c r="V36" s="667" t="s">
        <v>14</v>
      </c>
      <c r="W36" s="668">
        <f t="shared" si="12"/>
        <v>100</v>
      </c>
      <c r="X36" s="1261"/>
      <c r="Y36" s="3407" t="s">
        <v>1696</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07"/>
      <c r="Q37" s="1259">
        <f t="shared" si="8"/>
        <v>111</v>
      </c>
      <c r="R37" s="669" t="s">
        <v>14</v>
      </c>
      <c r="S37" s="670">
        <f t="shared" si="10"/>
        <v>100</v>
      </c>
      <c r="T37" s="669" t="s">
        <v>14</v>
      </c>
      <c r="U37" s="670">
        <f t="shared" si="11"/>
        <v>100</v>
      </c>
      <c r="V37" s="669" t="s">
        <v>14</v>
      </c>
      <c r="W37" s="670">
        <f t="shared" si="12"/>
        <v>100</v>
      </c>
      <c r="X37" s="671"/>
      <c r="Y37" s="3407"/>
      <c r="Z37" s="672">
        <f t="shared" si="13"/>
        <v>111</v>
      </c>
      <c r="AA37" s="1260">
        <f t="shared" si="3"/>
        <v>1</v>
      </c>
      <c r="AB37" s="1260">
        <f t="shared" si="4"/>
        <v>1</v>
      </c>
      <c r="AC37" s="1260">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07"/>
      <c r="Q38" s="1259" t="str">
        <f>B38</f>
        <v>宗地面积</v>
      </c>
      <c r="R38" s="667" t="s">
        <v>14</v>
      </c>
      <c r="S38" s="668" t="e">
        <f t="shared" si="10"/>
        <v>#N/A</v>
      </c>
      <c r="T38" s="667" t="s">
        <v>14</v>
      </c>
      <c r="U38" s="668" t="e">
        <f t="shared" si="11"/>
        <v>#N/A</v>
      </c>
      <c r="V38" s="667" t="s">
        <v>14</v>
      </c>
      <c r="W38" s="668" t="e">
        <f t="shared" si="12"/>
        <v>#N/A</v>
      </c>
      <c r="X38" s="1261"/>
      <c r="Y38" s="3407"/>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5"/>
      <c r="M39" s="2480"/>
      <c r="N39" s="2480"/>
      <c r="O39" s="2535"/>
      <c r="P39" s="3407"/>
      <c r="Q39" s="1259" t="str">
        <f t="shared" ref="Q39:Q45" si="14">B39</f>
        <v>宗地形状</v>
      </c>
      <c r="R39" s="667" t="s">
        <v>14</v>
      </c>
      <c r="S39" s="668">
        <f t="shared" si="10"/>
        <v>100</v>
      </c>
      <c r="T39" s="667" t="s">
        <v>14</v>
      </c>
      <c r="U39" s="668">
        <f t="shared" si="11"/>
        <v>100</v>
      </c>
      <c r="V39" s="667" t="s">
        <v>14</v>
      </c>
      <c r="W39" s="668">
        <f t="shared" si="12"/>
        <v>100</v>
      </c>
      <c r="X39" s="1261"/>
      <c r="Y39" s="3407"/>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5"/>
      <c r="M40" s="2480"/>
      <c r="N40" s="2480"/>
      <c r="O40" s="2535"/>
      <c r="P40" s="3407"/>
      <c r="Q40" s="1259" t="str">
        <f t="shared" si="14"/>
        <v>临街宽度及深度</v>
      </c>
      <c r="R40" s="667" t="s">
        <v>14</v>
      </c>
      <c r="S40" s="668">
        <f t="shared" si="10"/>
        <v>100</v>
      </c>
      <c r="T40" s="667" t="s">
        <v>14</v>
      </c>
      <c r="U40" s="668">
        <f t="shared" si="11"/>
        <v>100</v>
      </c>
      <c r="V40" s="667" t="s">
        <v>14</v>
      </c>
      <c r="W40" s="668">
        <f t="shared" si="12"/>
        <v>100</v>
      </c>
      <c r="X40" s="1261"/>
      <c r="Y40" s="3407"/>
      <c r="Z40" s="1260" t="str">
        <f t="shared" si="13"/>
        <v>临街宽度及深度</v>
      </c>
      <c r="AA40" s="1260">
        <f t="shared" si="3"/>
        <v>1</v>
      </c>
      <c r="AB40" s="1260">
        <f t="shared" si="4"/>
        <v>1</v>
      </c>
      <c r="AC40" s="1260">
        <f t="shared" si="5"/>
        <v>1</v>
      </c>
    </row>
    <row r="41" spans="1:29" s="102" customFormat="1" ht="15">
      <c r="A41" s="410"/>
      <c r="B41" s="364" t="s">
        <v>1877</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1"/>
      <c r="M41" s="2432"/>
      <c r="N41" s="2432"/>
      <c r="O41" s="2533"/>
      <c r="P41" s="3407"/>
      <c r="Q41" s="1259"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5"/>
      <c r="M42" s="2480"/>
      <c r="N42" s="2480"/>
      <c r="O42" s="2535"/>
      <c r="P42" s="3407" t="s">
        <v>1696</v>
      </c>
      <c r="Q42" s="1259" t="str">
        <f t="shared" si="14"/>
        <v>工程地质条件</v>
      </c>
      <c r="R42" s="667" t="s">
        <v>14</v>
      </c>
      <c r="S42" s="668">
        <f t="shared" si="10"/>
        <v>100</v>
      </c>
      <c r="T42" s="667" t="s">
        <v>14</v>
      </c>
      <c r="U42" s="668">
        <f t="shared" si="11"/>
        <v>100</v>
      </c>
      <c r="V42" s="667" t="s">
        <v>14</v>
      </c>
      <c r="W42" s="668">
        <f t="shared" si="12"/>
        <v>100</v>
      </c>
      <c r="X42" s="1261"/>
      <c r="Y42" s="3407" t="s">
        <v>1696</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07"/>
      <c r="Q43" s="1259">
        <f t="shared" si="14"/>
        <v>111</v>
      </c>
      <c r="R43" s="667" t="s">
        <v>14</v>
      </c>
      <c r="S43" s="668">
        <f t="shared" si="10"/>
        <v>100</v>
      </c>
      <c r="T43" s="667" t="s">
        <v>14</v>
      </c>
      <c r="U43" s="668">
        <f t="shared" si="11"/>
        <v>100</v>
      </c>
      <c r="V43" s="667" t="s">
        <v>14</v>
      </c>
      <c r="W43" s="668">
        <f t="shared" si="12"/>
        <v>100</v>
      </c>
      <c r="X43" s="1261"/>
      <c r="Y43" s="3407"/>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07"/>
      <c r="Q44" s="1259">
        <f t="shared" si="14"/>
        <v>111</v>
      </c>
      <c r="R44" s="667" t="s">
        <v>14</v>
      </c>
      <c r="S44" s="668">
        <f t="shared" si="10"/>
        <v>100</v>
      </c>
      <c r="T44" s="667" t="s">
        <v>14</v>
      </c>
      <c r="U44" s="668">
        <f t="shared" si="11"/>
        <v>100</v>
      </c>
      <c r="V44" s="667" t="s">
        <v>14</v>
      </c>
      <c r="W44" s="668">
        <f t="shared" si="12"/>
        <v>100</v>
      </c>
      <c r="X44" s="1261"/>
      <c r="Y44" s="3407"/>
      <c r="Z44" s="1260">
        <f t="shared" si="13"/>
        <v>111</v>
      </c>
      <c r="AA44" s="1260">
        <f t="shared" si="3"/>
        <v>1</v>
      </c>
      <c r="AB44" s="1260">
        <f t="shared" si="4"/>
        <v>1</v>
      </c>
      <c r="AC44" s="1260">
        <f t="shared" si="5"/>
        <v>1</v>
      </c>
    </row>
    <row r="45" spans="1:29" s="408" customFormat="1" ht="15.75" thickBot="1">
      <c r="A45" s="406"/>
      <c r="B45" s="1063">
        <v>111</v>
      </c>
      <c r="C45" s="1823"/>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07"/>
      <c r="Q45" s="1259">
        <f t="shared" si="14"/>
        <v>111</v>
      </c>
      <c r="R45" s="669" t="s">
        <v>14</v>
      </c>
      <c r="S45" s="670">
        <f t="shared" si="10"/>
        <v>100</v>
      </c>
      <c r="T45" s="669" t="s">
        <v>14</v>
      </c>
      <c r="U45" s="670">
        <f t="shared" si="11"/>
        <v>100</v>
      </c>
      <c r="V45" s="669" t="s">
        <v>14</v>
      </c>
      <c r="W45" s="670">
        <f t="shared" si="12"/>
        <v>100</v>
      </c>
      <c r="X45" s="671"/>
      <c r="Y45" s="3407"/>
      <c r="Z45" s="672">
        <f t="shared" si="13"/>
        <v>111</v>
      </c>
      <c r="AA45" s="1260">
        <f t="shared" si="3"/>
        <v>1</v>
      </c>
      <c r="AB45" s="1260">
        <f t="shared" si="4"/>
        <v>1</v>
      </c>
      <c r="AC45" s="1260">
        <f t="shared" si="5"/>
        <v>1</v>
      </c>
    </row>
    <row r="46" spans="1:29" ht="15">
      <c r="A46" s="416" t="s">
        <v>1844</v>
      </c>
      <c r="B46" s="1824" t="s">
        <v>1879</v>
      </c>
      <c r="C46" s="602" t="s">
        <v>0</v>
      </c>
      <c r="D46" s="418"/>
      <c r="E46" s="419"/>
      <c r="F46" s="420"/>
      <c r="G46" s="421"/>
      <c r="H46" s="422"/>
      <c r="I46" s="419"/>
      <c r="J46" s="422"/>
      <c r="K46" s="674"/>
      <c r="L46" s="2487"/>
      <c r="M46" s="2480"/>
      <c r="N46" s="2480"/>
      <c r="O46" s="2480"/>
      <c r="P46" s="3400" t="str">
        <f>A46</f>
        <v>成交单价</v>
      </c>
      <c r="Q46" s="3400"/>
      <c r="R46" s="3401">
        <f>E46</f>
        <v>0</v>
      </c>
      <c r="S46" s="3401"/>
      <c r="T46" s="3401">
        <f>G46</f>
        <v>0</v>
      </c>
      <c r="U46" s="3401"/>
      <c r="V46" s="3401">
        <f>I46</f>
        <v>0</v>
      </c>
      <c r="W46" s="3401"/>
      <c r="X46" s="385"/>
      <c r="Y46" s="673"/>
      <c r="Z46" s="385"/>
      <c r="AA46" s="385"/>
      <c r="AB46" s="385"/>
      <c r="AC46" s="385"/>
    </row>
    <row r="47" spans="1:29" ht="15.75" thickBot="1">
      <c r="A47" s="423" t="s">
        <v>1793</v>
      </c>
      <c r="B47" s="603"/>
      <c r="C47" s="426" t="e">
        <f>R48</f>
        <v>#DIV/0!</v>
      </c>
      <c r="D47" s="2135" t="s">
        <v>2138</v>
      </c>
      <c r="E47" s="426" t="e">
        <f>R47</f>
        <v>#DIV/0!</v>
      </c>
      <c r="F47" s="2136"/>
      <c r="G47" s="425" t="e">
        <f>T47</f>
        <v>#DIV/0!</v>
      </c>
      <c r="H47" s="2136"/>
      <c r="I47" s="426" t="e">
        <f>V47</f>
        <v>#DIV/0!</v>
      </c>
      <c r="J47" s="2136"/>
      <c r="K47" s="2138">
        <f>F47+H47+J47</f>
        <v>0</v>
      </c>
      <c r="L47" s="2487"/>
      <c r="M47" s="2480"/>
      <c r="N47" s="2480"/>
      <c r="O47" s="2480"/>
      <c r="P47" s="3400" t="str">
        <f>A47</f>
        <v>比较价值（元/平方米）</v>
      </c>
      <c r="Q47" s="3400"/>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7"/>
      <c r="M48" s="2480"/>
      <c r="N48" s="2480"/>
      <c r="O48" s="2480"/>
      <c r="P48" s="3397" t="str">
        <f>A48</f>
        <v>估价对象XX用房的比较价值（楼面单价，元/平方米）</v>
      </c>
      <c r="Q48" s="3398"/>
      <c r="R48" s="3462" t="e">
        <f>ROUND(IF(D47="简单平均",AVERAGE(R47:W47),R47*F47+T47*H47+V47*J47),0)</f>
        <v>#DIV/0!</v>
      </c>
      <c r="S48" s="3462"/>
      <c r="T48" s="3462"/>
      <c r="U48" s="3462"/>
      <c r="V48" s="3462"/>
      <c r="W48" s="3462"/>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5" t="s">
        <v>1883</v>
      </c>
      <c r="D55" s="1826" t="s">
        <v>1884</v>
      </c>
      <c r="E55" s="606" t="s">
        <v>1885</v>
      </c>
      <c r="F55" s="833" t="s">
        <v>1886</v>
      </c>
      <c r="G55" s="3415" t="s">
        <v>1887</v>
      </c>
      <c r="H55" s="3463"/>
      <c r="I55" s="127" t="s">
        <v>1888</v>
      </c>
      <c r="J55" s="1827">
        <f>项目基本情况!F35</f>
        <v>0</v>
      </c>
      <c r="K55" s="1828"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6">
        <v>1</v>
      </c>
      <c r="E56" s="610">
        <f>'数据-汇总表'!E8+'数据-汇总表'!E9</f>
        <v>154.79</v>
      </c>
      <c r="F56" s="829" t="e">
        <f t="shared" ref="F56:F64" si="15">ROUND(B56*E56/10000,0)</f>
        <v>#DIV/0!</v>
      </c>
      <c r="G56" s="3411"/>
      <c r="H56" s="3400"/>
      <c r="I56" s="834">
        <v>1</v>
      </c>
      <c r="J56" s="837">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0.6</v>
      </c>
      <c r="D57" s="887">
        <v>0.25</v>
      </c>
      <c r="E57" s="614"/>
      <c r="F57" s="829" t="e">
        <f t="shared" si="15"/>
        <v>#DIV/0!</v>
      </c>
      <c r="G57" s="2743" t="s">
        <v>1892</v>
      </c>
      <c r="H57" s="830" t="str">
        <f>项目基本情况!B37</f>
        <v>四级</v>
      </c>
      <c r="I57" s="834">
        <f>SUMIF(修正!A59:A70,H57,修正!B59:B70)</f>
        <v>0.6</v>
      </c>
      <c r="J57" s="838"/>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0.3</v>
      </c>
      <c r="D58" s="887">
        <v>0.25</v>
      </c>
      <c r="E58" s="614"/>
      <c r="F58" s="829" t="e">
        <f t="shared" si="15"/>
        <v>#DIV/0!</v>
      </c>
      <c r="G58" s="2744"/>
      <c r="H58" s="830" t="str">
        <f>项目基本情况!B37</f>
        <v>四级</v>
      </c>
      <c r="I58" s="834">
        <f>SUMIF(修正!A59:A70,H58,修正!C59:C70)</f>
        <v>0.3</v>
      </c>
      <c r="J58" s="838"/>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0.25</v>
      </c>
      <c r="D59" s="887">
        <v>0.25</v>
      </c>
      <c r="E59" s="614"/>
      <c r="F59" s="829" t="e">
        <f t="shared" si="15"/>
        <v>#DIV/0!</v>
      </c>
      <c r="G59" s="2744"/>
      <c r="H59" s="830" t="str">
        <f>项目基本情况!B37</f>
        <v>四级</v>
      </c>
      <c r="I59" s="834">
        <f>SUMIF(修正!A59:A70,H59,修正!D59:D70)</f>
        <v>0.25</v>
      </c>
      <c r="J59" s="838"/>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0.25</v>
      </c>
      <c r="D60" s="887">
        <v>0.25</v>
      </c>
      <c r="E60" s="209">
        <f>'数据-汇总表'!E11</f>
        <v>0</v>
      </c>
      <c r="F60" s="829" t="e">
        <f t="shared" si="15"/>
        <v>#DIV/0!</v>
      </c>
      <c r="G60" s="1829" t="s">
        <v>1896</v>
      </c>
      <c r="H60" s="830" t="str">
        <f>项目基本情况!C37</f>
        <v>四级</v>
      </c>
      <c r="I60" s="834">
        <f>SUMIF(修正!A59:A70,H60,修正!E59:E70)</f>
        <v>0.25</v>
      </c>
      <c r="J60" s="838"/>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0.25</v>
      </c>
      <c r="D61" s="887">
        <v>0.25</v>
      </c>
      <c r="E61" s="209">
        <f>'数据-汇总表'!E12</f>
        <v>0</v>
      </c>
      <c r="F61" s="829" t="e">
        <f t="shared" si="15"/>
        <v>#DIV/0!</v>
      </c>
      <c r="G61" s="835" t="s">
        <v>1898</v>
      </c>
      <c r="H61" s="830" t="str">
        <f>IF(G61="商业",项目基本情况!B37,IF(G61="办公",项目基本情况!C37,IF(G61="住宅",项目基本情况!D37,项目基本情况!E37)))</f>
        <v>四级</v>
      </c>
      <c r="I61" s="834">
        <f>SUMIF(修正!A59:A70,H61,修正!F59:F70)</f>
        <v>0.25</v>
      </c>
      <c r="J61" s="838"/>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SUMIF(修正!A59:A70,H62,修正!G59:G70)</f>
        <v>0</v>
      </c>
      <c r="J62" s="838"/>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0.15</v>
      </c>
      <c r="D63" s="887">
        <v>0.25</v>
      </c>
      <c r="E63" s="209">
        <f>'数据-汇总表'!E14</f>
        <v>0</v>
      </c>
      <c r="F63" s="829" t="e">
        <f t="shared" si="15"/>
        <v>#DIV/0!</v>
      </c>
      <c r="G63" s="1829" t="s">
        <v>1892</v>
      </c>
      <c r="H63" s="830" t="str">
        <f>项目基本情况!B37</f>
        <v>四级</v>
      </c>
      <c r="I63" s="834">
        <f>SUMIF(修正!A59:A70,H63,修正!G59:G70)</f>
        <v>0.15</v>
      </c>
      <c r="J63" s="838"/>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1902</v>
      </c>
      <c r="B64" s="210" t="e">
        <f t="shared" si="17"/>
        <v>#DIV/0!</v>
      </c>
      <c r="C64" s="163">
        <f t="shared" si="16"/>
        <v>0.15</v>
      </c>
      <c r="D64" s="887">
        <v>0.25</v>
      </c>
      <c r="E64" s="209">
        <f>'数据-汇总表'!E15</f>
        <v>0</v>
      </c>
      <c r="F64" s="829" t="e">
        <f t="shared" si="15"/>
        <v>#DIV/0!</v>
      </c>
      <c r="G64" s="1830" t="s">
        <v>1896</v>
      </c>
      <c r="H64" s="840" t="str">
        <f>项目基本情况!C37</f>
        <v>四级</v>
      </c>
      <c r="I64" s="836">
        <f>SUMIF(修正!A59:A70,H64,修正!G59:G70)</f>
        <v>0.15</v>
      </c>
      <c r="J64" s="839"/>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1903</v>
      </c>
      <c r="B65" s="616" t="s">
        <v>22</v>
      </c>
      <c r="C65" s="616" t="s">
        <v>23</v>
      </c>
      <c r="D65" s="616" t="s">
        <v>392</v>
      </c>
      <c r="E65" s="616">
        <f>IF(B46="楼面地价",SUM(E56:E64),'数据-汇总表'!D3)</f>
        <v>154.79</v>
      </c>
      <c r="F65" s="617" t="e">
        <f>IF(B46="楼面地价",SUM(F56:F64),ROUND(C48*E65/10000,0))</f>
        <v>#DIV/0!</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7"/>
      <c r="K66" s="831"/>
      <c r="L66" s="832"/>
      <c r="M66" s="857"/>
      <c r="N66" s="857"/>
      <c r="O66" s="857"/>
      <c r="P66" s="2480"/>
      <c r="Q66" s="2480"/>
      <c r="R66" s="2480"/>
      <c r="S66" s="2480"/>
      <c r="T66" s="2480"/>
      <c r="U66" s="2480"/>
      <c r="V66" s="2480"/>
      <c r="W66" s="2480"/>
      <c r="X66" s="2480"/>
      <c r="Y66" s="2480"/>
      <c r="Z66" s="2480"/>
      <c r="AA66" s="2480"/>
      <c r="AB66" s="2480"/>
      <c r="AC66" s="2480"/>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0"/>
      <c r="Q67" s="2480"/>
      <c r="R67" s="2480"/>
      <c r="S67" s="2480"/>
      <c r="T67" s="2480"/>
      <c r="U67" s="2480"/>
      <c r="V67" s="2480"/>
      <c r="W67" s="2480"/>
      <c r="X67" s="2480"/>
      <c r="Y67" s="2480"/>
      <c r="Z67" s="2480"/>
      <c r="AA67" s="2480"/>
      <c r="AB67" s="2480"/>
      <c r="AC67" s="2480"/>
    </row>
    <row r="68" spans="1:29" ht="21.75" thickBot="1">
      <c r="A68" s="658" t="s">
        <v>1798</v>
      </c>
      <c r="B68" s="385"/>
      <c r="C68" s="659"/>
      <c r="D68" s="659"/>
      <c r="E68" s="659"/>
      <c r="F68" s="660"/>
      <c r="G68" s="660"/>
      <c r="H68" s="659"/>
      <c r="I68" s="659"/>
      <c r="J68" s="882"/>
      <c r="K68" s="883"/>
      <c r="L68" s="884"/>
      <c r="M68" s="882"/>
      <c r="N68" s="2530"/>
      <c r="O68" s="2530"/>
      <c r="P68" s="2530"/>
      <c r="Q68" s="2501"/>
      <c r="R68" s="2480"/>
      <c r="S68" s="2480"/>
      <c r="T68" s="2480"/>
      <c r="U68" s="2480"/>
      <c r="V68" s="2480"/>
      <c r="W68" s="2480"/>
      <c r="X68" s="2480"/>
      <c r="Y68" s="2480"/>
      <c r="Z68" s="2480"/>
      <c r="AA68" s="2480"/>
      <c r="AB68" s="2480"/>
      <c r="AC68" s="2480"/>
    </row>
    <row r="69" spans="1:29" s="442" customFormat="1" ht="15">
      <c r="A69" s="1626" t="s">
        <v>1904</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3"/>
      <c r="Q69" s="2503"/>
      <c r="R69" s="2503"/>
      <c r="S69" s="2503"/>
      <c r="T69" s="2503"/>
      <c r="U69" s="2503"/>
      <c r="V69" s="2503"/>
      <c r="W69" s="2503"/>
      <c r="X69" s="2503"/>
      <c r="Y69" s="2503"/>
      <c r="Z69" s="2503"/>
      <c r="AA69" s="2503"/>
      <c r="AB69" s="2503"/>
      <c r="AC69" s="2503"/>
    </row>
    <row r="70" spans="1:29" s="102" customFormat="1" ht="30" customHeight="1">
      <c r="A70" s="1831"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2"/>
      <c r="N70" s="6"/>
      <c r="O70" s="1094"/>
      <c r="P70" s="2501"/>
      <c r="Q70" s="2432"/>
      <c r="R70" s="2432"/>
      <c r="S70" s="2432"/>
      <c r="T70" s="2432"/>
      <c r="U70" s="2432"/>
      <c r="V70" s="2432"/>
      <c r="W70" s="2432"/>
      <c r="X70" s="2432"/>
      <c r="Y70" s="2432"/>
      <c r="Z70" s="2432"/>
      <c r="AA70" s="2432"/>
      <c r="AB70" s="2432"/>
      <c r="AC70" s="2432"/>
    </row>
    <row r="71" spans="1:29" s="102" customFormat="1" ht="15.75" thickBot="1">
      <c r="A71" s="449" t="s">
        <v>1716</v>
      </c>
      <c r="B71" s="450"/>
      <c r="C71" s="451"/>
      <c r="D71" s="452"/>
      <c r="E71" s="452"/>
      <c r="F71" s="452"/>
      <c r="G71" s="452"/>
      <c r="H71" s="452"/>
      <c r="I71" s="452"/>
      <c r="J71" s="452"/>
      <c r="K71" s="452"/>
      <c r="L71" s="452"/>
      <c r="M71" s="453"/>
      <c r="N71" s="452"/>
      <c r="O71" s="885"/>
      <c r="P71" s="2501"/>
      <c r="Q71" s="2501"/>
      <c r="R71" s="2432"/>
      <c r="S71" s="2432"/>
      <c r="T71" s="2432"/>
      <c r="U71" s="2432"/>
      <c r="V71" s="2432"/>
      <c r="W71" s="2432"/>
      <c r="X71" s="2432"/>
      <c r="Y71" s="2432"/>
      <c r="Z71" s="2432"/>
      <c r="AA71" s="2432"/>
      <c r="AB71" s="2432"/>
      <c r="AC71" s="2432"/>
    </row>
    <row r="72" spans="1:29" s="102" customFormat="1" ht="15">
      <c r="A72" s="455" t="s">
        <v>1681</v>
      </c>
      <c r="B72" s="444"/>
      <c r="C72" s="456" t="s">
        <v>1776</v>
      </c>
      <c r="D72" s="31"/>
      <c r="E72" s="31"/>
      <c r="F72" s="31"/>
      <c r="G72" s="31"/>
      <c r="H72" s="31"/>
      <c r="I72" s="31"/>
      <c r="J72" s="31"/>
      <c r="K72" s="31"/>
      <c r="L72" s="457"/>
      <c r="M72" s="458"/>
      <c r="N72" s="2513"/>
      <c r="O72" s="2513"/>
      <c r="P72" s="2537"/>
      <c r="Q72" s="2501"/>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2"/>
      <c r="S73" s="2432"/>
      <c r="T73" s="2432"/>
      <c r="U73" s="2432"/>
      <c r="V73" s="2432"/>
      <c r="W73" s="2432"/>
      <c r="X73" s="2432"/>
      <c r="Y73" s="2432"/>
      <c r="Z73" s="2432"/>
      <c r="AA73" s="2432"/>
      <c r="AB73" s="2432"/>
      <c r="AC73" s="2432"/>
    </row>
    <row r="74" spans="1:29">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2"/>
      <c r="S98" s="2432"/>
      <c r="T98" s="2432"/>
      <c r="U98" s="2432"/>
      <c r="V98" s="2432"/>
      <c r="W98" s="2432"/>
      <c r="X98" s="2432"/>
      <c r="Y98" s="2432"/>
      <c r="Z98" s="2432"/>
      <c r="AA98" s="2432"/>
      <c r="AB98" s="2432"/>
      <c r="AC98" s="2432"/>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1"/>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1"/>
      <c r="D2" s="851"/>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79"/>
      <c r="M4" s="2480"/>
      <c r="N4" s="2480"/>
      <c r="O4" s="2480"/>
      <c r="P4" s="3419" t="s">
        <v>1775</v>
      </c>
      <c r="Q4" s="3420"/>
      <c r="R4" s="3425" t="s">
        <v>1771</v>
      </c>
      <c r="S4" s="3426"/>
      <c r="T4" s="3425" t="s">
        <v>1772</v>
      </c>
      <c r="U4" s="3426"/>
      <c r="V4" s="3401" t="s">
        <v>1773</v>
      </c>
      <c r="W4" s="3401"/>
      <c r="X4" s="1261"/>
      <c r="Y4" s="3425" t="s">
        <v>1775</v>
      </c>
      <c r="Z4" s="3426"/>
      <c r="AA4" s="3412" t="s">
        <v>1771</v>
      </c>
      <c r="AB4" s="3413" t="s">
        <v>1772</v>
      </c>
      <c r="AC4" s="3412" t="s">
        <v>1773</v>
      </c>
    </row>
    <row r="5" spans="1:29" ht="15">
      <c r="A5" s="348"/>
      <c r="B5" s="349"/>
      <c r="C5" s="3442" t="s">
        <v>1673</v>
      </c>
      <c r="D5" s="3439"/>
      <c r="E5" s="3443" t="s">
        <v>1674</v>
      </c>
      <c r="F5" s="3434"/>
      <c r="G5" s="3442" t="s">
        <v>1675</v>
      </c>
      <c r="H5" s="3439"/>
      <c r="I5" s="3442" t="s">
        <v>1676</v>
      </c>
      <c r="J5" s="3439"/>
      <c r="K5" s="537"/>
      <c r="L5" s="2479"/>
      <c r="M5" s="2480"/>
      <c r="N5" s="2480"/>
      <c r="O5" s="2480"/>
      <c r="P5" s="3421"/>
      <c r="Q5" s="3422"/>
      <c r="R5" s="3427"/>
      <c r="S5" s="3428"/>
      <c r="T5" s="3427"/>
      <c r="U5" s="3428"/>
      <c r="V5" s="3401"/>
      <c r="W5" s="3401"/>
      <c r="X5" s="1261"/>
      <c r="Y5" s="3427"/>
      <c r="Z5" s="3428"/>
      <c r="AA5" s="3413"/>
      <c r="AB5" s="3413"/>
      <c r="AC5" s="3413"/>
    </row>
    <row r="6" spans="1:29" ht="15.75" thickBot="1">
      <c r="A6" s="350"/>
      <c r="B6" s="351"/>
      <c r="C6" s="3464" t="s">
        <v>1919</v>
      </c>
      <c r="D6" s="3465"/>
      <c r="E6" s="3466" t="s">
        <v>1919</v>
      </c>
      <c r="F6" s="3467"/>
      <c r="G6" s="3464" t="s">
        <v>1919</v>
      </c>
      <c r="H6" s="3465"/>
      <c r="I6" s="3464" t="s">
        <v>1919</v>
      </c>
      <c r="J6" s="3465"/>
      <c r="K6" s="537" t="s">
        <v>1678</v>
      </c>
      <c r="L6" s="2479"/>
      <c r="M6" s="2480"/>
      <c r="N6" s="2480"/>
      <c r="O6" s="2480"/>
      <c r="P6" s="3423"/>
      <c r="Q6" s="3424"/>
      <c r="R6" s="3427"/>
      <c r="S6" s="3428"/>
      <c r="T6" s="3429"/>
      <c r="U6" s="3430"/>
      <c r="V6" s="3401"/>
      <c r="W6" s="3401"/>
      <c r="X6" s="1261"/>
      <c r="Y6" s="3429"/>
      <c r="Z6" s="3430"/>
      <c r="AA6" s="3414"/>
      <c r="AB6" s="3414"/>
      <c r="AC6" s="3414"/>
    </row>
    <row r="7" spans="1:29" s="102" customFormat="1" ht="15.75" thickBot="1">
      <c r="A7" s="352" t="s">
        <v>1679</v>
      </c>
      <c r="B7" s="353"/>
      <c r="C7" s="354">
        <f>'数据-取费表'!B2</f>
        <v>45940</v>
      </c>
      <c r="D7" s="355">
        <v>100</v>
      </c>
      <c r="E7" s="356"/>
      <c r="F7" s="357">
        <f>SUMIF(65:65,YEAR(E7)&amp;"-"&amp;INT((MONTH(E7)+2)/3),66:66)</f>
        <v>0</v>
      </c>
      <c r="G7" s="1816"/>
      <c r="H7" s="355">
        <f>SUMIF(65:65,YEAR(G7)&amp;"-"&amp;INT((MONTH(G7)+2)/3),66:66)</f>
        <v>0</v>
      </c>
      <c r="I7" s="1816"/>
      <c r="J7" s="355">
        <f>SUMIF(65:65,YEAR(I7)&amp;"-"&amp;INT((MONTH(I7)+2)/3),66:66)</f>
        <v>0</v>
      </c>
      <c r="K7" s="38"/>
      <c r="L7" s="2481"/>
      <c r="M7" s="2432"/>
      <c r="N7" s="2432"/>
      <c r="O7" s="2432"/>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c r="A9" s="359"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1"/>
      <c r="M9" s="2432"/>
      <c r="N9" s="2432"/>
      <c r="O9" s="2533"/>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2"/>
      <c r="N12" s="2432"/>
      <c r="O12" s="2533"/>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57">
      <c r="A15" s="379" t="s">
        <v>1690</v>
      </c>
      <c r="B15" s="554" t="s">
        <v>1920</v>
      </c>
      <c r="C15" s="1813"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02" t="s">
        <v>1691</v>
      </c>
      <c r="Q15" s="1259" t="str">
        <f t="shared" si="6"/>
        <v>产业集聚程度</v>
      </c>
      <c r="R15" s="667" t="s">
        <v>14</v>
      </c>
      <c r="S15" s="668">
        <f t="shared" si="0"/>
        <v>100</v>
      </c>
      <c r="T15" s="667" t="s">
        <v>14</v>
      </c>
      <c r="U15" s="668">
        <f t="shared" si="1"/>
        <v>100</v>
      </c>
      <c r="V15" s="667" t="s">
        <v>14</v>
      </c>
      <c r="W15" s="668">
        <f t="shared" si="2"/>
        <v>100</v>
      </c>
      <c r="X15" s="1261"/>
      <c r="Y15" s="3402"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5"/>
      <c r="M16" s="2480"/>
      <c r="N16" s="2480"/>
      <c r="O16" s="2535"/>
      <c r="P16" s="3403"/>
      <c r="Q16" s="1259"/>
      <c r="R16" s="667"/>
      <c r="S16" s="668"/>
      <c r="T16" s="667"/>
      <c r="U16" s="668"/>
      <c r="V16" s="667"/>
      <c r="W16" s="668"/>
      <c r="X16" s="1261"/>
      <c r="Y16" s="3403"/>
      <c r="Z16" s="1260"/>
      <c r="AA16" s="1260">
        <v>1</v>
      </c>
      <c r="AB16" s="1260">
        <v>1</v>
      </c>
      <c r="AC16" s="1260">
        <v>1</v>
      </c>
    </row>
    <row r="17" spans="1:29" ht="85.5">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03"/>
      <c r="Q17" s="1259" t="str">
        <f>B17</f>
        <v>交通便捷度</v>
      </c>
      <c r="R17" s="667" t="s">
        <v>14</v>
      </c>
      <c r="S17" s="668">
        <f>F17</f>
        <v>100</v>
      </c>
      <c r="T17" s="667" t="s">
        <v>14</v>
      </c>
      <c r="U17" s="668">
        <f>H17</f>
        <v>100</v>
      </c>
      <c r="V17" s="667" t="s">
        <v>14</v>
      </c>
      <c r="W17" s="668">
        <f>J17</f>
        <v>100</v>
      </c>
      <c r="X17" s="1261"/>
      <c r="Y17" s="3403"/>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5"/>
      <c r="M18" s="2480"/>
      <c r="N18" s="2480"/>
      <c r="O18" s="2535"/>
      <c r="P18" s="3403"/>
      <c r="Q18" s="1259"/>
      <c r="R18" s="667"/>
      <c r="S18" s="668"/>
      <c r="T18" s="667"/>
      <c r="U18" s="668"/>
      <c r="V18" s="667"/>
      <c r="W18" s="668"/>
      <c r="X18" s="1261"/>
      <c r="Y18" s="3403"/>
      <c r="Z18" s="1260"/>
      <c r="AA18" s="1260">
        <v>1</v>
      </c>
      <c r="AB18" s="1260">
        <v>1</v>
      </c>
      <c r="AC18" s="1260">
        <v>1</v>
      </c>
    </row>
    <row r="19" spans="1:29" ht="15">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03"/>
      <c r="Q19" s="1259" t="str">
        <f t="shared" ref="Q19:Q33" si="8">B19</f>
        <v>区域土地利用方向</v>
      </c>
      <c r="R19" s="667" t="s">
        <v>14</v>
      </c>
      <c r="S19" s="668">
        <f>F19</f>
        <v>100</v>
      </c>
      <c r="T19" s="667" t="s">
        <v>14</v>
      </c>
      <c r="U19" s="668">
        <f>H19</f>
        <v>100</v>
      </c>
      <c r="V19" s="667" t="s">
        <v>14</v>
      </c>
      <c r="W19" s="668">
        <f>J19</f>
        <v>100</v>
      </c>
      <c r="X19" s="1261"/>
      <c r="Y19" s="3403"/>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5"/>
      <c r="M20" s="2480"/>
      <c r="N20" s="2480"/>
      <c r="O20" s="2535"/>
      <c r="P20" s="3403"/>
      <c r="Q20" s="1259"/>
      <c r="R20" s="667"/>
      <c r="S20" s="668"/>
      <c r="T20" s="667"/>
      <c r="U20" s="668"/>
      <c r="V20" s="667"/>
      <c r="W20" s="668"/>
      <c r="X20" s="1261"/>
      <c r="Y20" s="3403"/>
      <c r="Z20" s="1260"/>
      <c r="AA20" s="1260"/>
      <c r="AB20" s="1260"/>
      <c r="AC20" s="1260"/>
    </row>
    <row r="21" spans="1:29" ht="71.25">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03"/>
      <c r="Q21" s="1259" t="str">
        <f t="shared" si="8"/>
        <v>环境状况</v>
      </c>
      <c r="R21" s="667" t="s">
        <v>14</v>
      </c>
      <c r="S21" s="668">
        <f>F21</f>
        <v>100</v>
      </c>
      <c r="T21" s="667" t="s">
        <v>14</v>
      </c>
      <c r="U21" s="668">
        <f>H21</f>
        <v>100</v>
      </c>
      <c r="V21" s="667" t="s">
        <v>14</v>
      </c>
      <c r="W21" s="668">
        <f>J21</f>
        <v>100</v>
      </c>
      <c r="X21" s="1261"/>
      <c r="Y21" s="3403"/>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5"/>
      <c r="M22" s="2480"/>
      <c r="N22" s="2480"/>
      <c r="O22" s="2535"/>
      <c r="P22" s="3403"/>
      <c r="Q22" s="1259"/>
      <c r="R22" s="667"/>
      <c r="S22" s="668"/>
      <c r="T22" s="667"/>
      <c r="U22" s="668"/>
      <c r="V22" s="667"/>
      <c r="W22" s="668"/>
      <c r="X22" s="1261"/>
      <c r="Y22" s="3403"/>
      <c r="Z22" s="1260"/>
      <c r="AA22" s="1260">
        <v>1</v>
      </c>
      <c r="AB22" s="1260">
        <v>1</v>
      </c>
      <c r="AC22" s="1260">
        <v>1</v>
      </c>
    </row>
    <row r="23" spans="1:29" s="102" customFormat="1" ht="42.75">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2"/>
      <c r="N23" s="2432"/>
      <c r="O23" s="2533"/>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2"/>
      <c r="L24" s="2481"/>
      <c r="M24" s="2432"/>
      <c r="N24" s="2432"/>
      <c r="O24" s="2533"/>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2"/>
      <c r="N25" s="2432"/>
      <c r="O25" s="2533"/>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2"/>
      <c r="L26" s="2481"/>
      <c r="M26" s="2432"/>
      <c r="N26" s="2432"/>
      <c r="O26" s="2533"/>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03"/>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03"/>
      <c r="Z27" s="1260" t="str">
        <f t="shared" ref="Z27:Z40" si="13">Q27</f>
        <v>临街状况</v>
      </c>
      <c r="AA27" s="1260">
        <f t="shared" si="3"/>
        <v>1</v>
      </c>
      <c r="AB27" s="1260">
        <f t="shared" si="4"/>
        <v>1</v>
      </c>
      <c r="AC27" s="1260">
        <f t="shared" si="5"/>
        <v>1</v>
      </c>
    </row>
    <row r="28" spans="1:29" ht="27">
      <c r="A28" s="367"/>
      <c r="B28" s="557" t="s">
        <v>1815</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03"/>
      <c r="Q28" s="1259" t="str">
        <f t="shared" si="8"/>
        <v>毗邻道路的类型与等级</v>
      </c>
      <c r="R28" s="667" t="s">
        <v>14</v>
      </c>
      <c r="S28" s="668">
        <f t="shared" si="10"/>
        <v>100</v>
      </c>
      <c r="T28" s="667" t="s">
        <v>14</v>
      </c>
      <c r="U28" s="668">
        <f t="shared" si="11"/>
        <v>100</v>
      </c>
      <c r="V28" s="667" t="s">
        <v>14</v>
      </c>
      <c r="W28" s="668">
        <f t="shared" si="12"/>
        <v>100</v>
      </c>
      <c r="X28" s="1261"/>
      <c r="Y28" s="3403"/>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5"/>
      <c r="M29" s="2480"/>
      <c r="N29" s="2480"/>
      <c r="O29" s="2535"/>
      <c r="P29" s="3403"/>
      <c r="Q29" s="1259"/>
      <c r="R29" s="667"/>
      <c r="S29" s="668"/>
      <c r="T29" s="667"/>
      <c r="U29" s="668"/>
      <c r="V29" s="667"/>
      <c r="W29" s="668"/>
      <c r="X29" s="1261"/>
      <c r="Y29" s="3403"/>
      <c r="Z29" s="1260"/>
      <c r="AA29" s="1260">
        <v>1</v>
      </c>
      <c r="AB29" s="1260">
        <v>1</v>
      </c>
      <c r="AC29" s="1260">
        <v>1</v>
      </c>
    </row>
    <row r="30" spans="1:29" ht="15">
      <c r="A30" s="367"/>
      <c r="B30" s="119" t="s">
        <v>1873</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03"/>
      <c r="Q30" s="1259" t="str">
        <f t="shared" si="8"/>
        <v>土地级别</v>
      </c>
      <c r="R30" s="667" t="s">
        <v>14</v>
      </c>
      <c r="S30" s="668">
        <f t="shared" si="10"/>
        <v>100</v>
      </c>
      <c r="T30" s="667" t="s">
        <v>14</v>
      </c>
      <c r="U30" s="668">
        <f t="shared" si="11"/>
        <v>100</v>
      </c>
      <c r="V30" s="667" t="s">
        <v>14</v>
      </c>
      <c r="W30" s="668">
        <f t="shared" si="12"/>
        <v>100</v>
      </c>
      <c r="X30" s="1261"/>
      <c r="Y30" s="3403"/>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03"/>
      <c r="Q31" s="1259">
        <f t="shared" si="8"/>
        <v>111</v>
      </c>
      <c r="R31" s="667" t="s">
        <v>14</v>
      </c>
      <c r="S31" s="668">
        <f t="shared" si="10"/>
        <v>100</v>
      </c>
      <c r="T31" s="667" t="s">
        <v>14</v>
      </c>
      <c r="U31" s="668">
        <f t="shared" si="11"/>
        <v>100</v>
      </c>
      <c r="V31" s="667" t="s">
        <v>14</v>
      </c>
      <c r="W31" s="668">
        <f t="shared" si="12"/>
        <v>100</v>
      </c>
      <c r="X31" s="1261"/>
      <c r="Y31" s="3403"/>
      <c r="Z31" s="1260">
        <f t="shared" si="13"/>
        <v>111</v>
      </c>
      <c r="AA31" s="1260">
        <f t="shared" si="3"/>
        <v>1</v>
      </c>
      <c r="AB31" s="1260">
        <f t="shared" si="4"/>
        <v>1</v>
      </c>
      <c r="AC31" s="1260">
        <f t="shared" si="5"/>
        <v>1</v>
      </c>
    </row>
    <row r="32" spans="1:29" ht="15">
      <c r="A32" s="595"/>
      <c r="B32" s="1833">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59" t="s">
        <v>1696</v>
      </c>
      <c r="Q32" s="1259">
        <f t="shared" si="8"/>
        <v>111</v>
      </c>
      <c r="R32" s="667" t="s">
        <v>14</v>
      </c>
      <c r="S32" s="668">
        <f t="shared" si="10"/>
        <v>100</v>
      </c>
      <c r="T32" s="667" t="s">
        <v>14</v>
      </c>
      <c r="U32" s="668">
        <f t="shared" si="11"/>
        <v>100</v>
      </c>
      <c r="V32" s="667" t="s">
        <v>14</v>
      </c>
      <c r="W32" s="668">
        <f t="shared" si="12"/>
        <v>100</v>
      </c>
      <c r="X32" s="1261"/>
      <c r="Y32" s="3407" t="s">
        <v>1696</v>
      </c>
      <c r="Z32" s="1260">
        <f t="shared" si="13"/>
        <v>111</v>
      </c>
      <c r="AA32" s="1260">
        <f t="shared" si="3"/>
        <v>1</v>
      </c>
      <c r="AB32" s="1260">
        <f t="shared" si="4"/>
        <v>1</v>
      </c>
      <c r="AC32" s="1260">
        <f t="shared" si="5"/>
        <v>1</v>
      </c>
    </row>
    <row r="33" spans="1:31" s="408" customFormat="1" ht="15.75" thickBot="1">
      <c r="A33" s="596"/>
      <c r="B33" s="1834">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07"/>
      <c r="Q33" s="1259">
        <f t="shared" si="8"/>
        <v>111</v>
      </c>
      <c r="R33" s="669" t="s">
        <v>14</v>
      </c>
      <c r="S33" s="670">
        <f t="shared" si="10"/>
        <v>100</v>
      </c>
      <c r="T33" s="669" t="s">
        <v>14</v>
      </c>
      <c r="U33" s="670">
        <f t="shared" si="11"/>
        <v>100</v>
      </c>
      <c r="V33" s="669" t="s">
        <v>14</v>
      </c>
      <c r="W33" s="670">
        <f t="shared" si="12"/>
        <v>100</v>
      </c>
      <c r="X33" s="671"/>
      <c r="Y33" s="3407"/>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07"/>
      <c r="Q34" s="1259" t="str">
        <f>B34</f>
        <v>宗地面积</v>
      </c>
      <c r="R34" s="667" t="s">
        <v>14</v>
      </c>
      <c r="S34" s="668" t="e">
        <f t="shared" si="10"/>
        <v>#N/A</v>
      </c>
      <c r="T34" s="667" t="s">
        <v>14</v>
      </c>
      <c r="U34" s="668" t="e">
        <f t="shared" si="11"/>
        <v>#N/A</v>
      </c>
      <c r="V34" s="667" t="s">
        <v>14</v>
      </c>
      <c r="W34" s="668" t="e">
        <f t="shared" si="12"/>
        <v>#N/A</v>
      </c>
      <c r="X34" s="1261"/>
      <c r="Y34" s="3407"/>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5"/>
      <c r="M35" s="2480"/>
      <c r="N35" s="2480"/>
      <c r="O35" s="2535"/>
      <c r="P35" s="3407"/>
      <c r="Q35" s="1259" t="str">
        <f t="shared" ref="Q35:Q40" si="14">B35</f>
        <v>宗地形状</v>
      </c>
      <c r="R35" s="667" t="s">
        <v>14</v>
      </c>
      <c r="S35" s="668">
        <f t="shared" si="10"/>
        <v>100</v>
      </c>
      <c r="T35" s="667" t="s">
        <v>14</v>
      </c>
      <c r="U35" s="668">
        <f t="shared" si="11"/>
        <v>100</v>
      </c>
      <c r="V35" s="667" t="s">
        <v>14</v>
      </c>
      <c r="W35" s="668">
        <f t="shared" si="12"/>
        <v>100</v>
      </c>
      <c r="X35" s="1261"/>
      <c r="Y35" s="3407"/>
      <c r="Z35" s="1260" t="str">
        <f t="shared" si="13"/>
        <v>宗地形状</v>
      </c>
      <c r="AA35" s="1260">
        <f t="shared" si="3"/>
        <v>1</v>
      </c>
      <c r="AB35" s="1260">
        <f t="shared" si="4"/>
        <v>1</v>
      </c>
      <c r="AC35" s="1260">
        <f t="shared" si="5"/>
        <v>1</v>
      </c>
    </row>
    <row r="36" spans="1:31" s="102" customFormat="1" ht="15">
      <c r="A36" s="410"/>
      <c r="B36" s="364" t="s">
        <v>1877</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1"/>
      <c r="M36" s="2432"/>
      <c r="N36" s="2432"/>
      <c r="O36" s="2533"/>
      <c r="P36" s="3407"/>
      <c r="Q36" s="1259"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5"/>
      <c r="M37" s="2480"/>
      <c r="N37" s="2480"/>
      <c r="O37" s="2535"/>
      <c r="P37" s="3407" t="s">
        <v>1696</v>
      </c>
      <c r="Q37" s="1259" t="str">
        <f t="shared" si="14"/>
        <v>工程地质条件</v>
      </c>
      <c r="R37" s="667" t="s">
        <v>14</v>
      </c>
      <c r="S37" s="668">
        <f t="shared" si="10"/>
        <v>100</v>
      </c>
      <c r="T37" s="667" t="s">
        <v>14</v>
      </c>
      <c r="U37" s="668">
        <f t="shared" si="11"/>
        <v>100</v>
      </c>
      <c r="V37" s="667" t="s">
        <v>14</v>
      </c>
      <c r="W37" s="668">
        <f t="shared" si="12"/>
        <v>100</v>
      </c>
      <c r="X37" s="1261"/>
      <c r="Y37" s="3407" t="s">
        <v>1696</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07"/>
      <c r="Q38" s="1259">
        <f t="shared" si="14"/>
        <v>111</v>
      </c>
      <c r="R38" s="667" t="s">
        <v>14</v>
      </c>
      <c r="S38" s="668">
        <f t="shared" si="10"/>
        <v>100</v>
      </c>
      <c r="T38" s="667" t="s">
        <v>14</v>
      </c>
      <c r="U38" s="668">
        <f t="shared" si="11"/>
        <v>100</v>
      </c>
      <c r="V38" s="667" t="s">
        <v>14</v>
      </c>
      <c r="W38" s="668">
        <f t="shared" si="12"/>
        <v>100</v>
      </c>
      <c r="X38" s="1261"/>
      <c r="Y38" s="3407"/>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07"/>
      <c r="Q39" s="1259">
        <f t="shared" si="14"/>
        <v>111</v>
      </c>
      <c r="R39" s="667" t="s">
        <v>14</v>
      </c>
      <c r="S39" s="668">
        <f t="shared" si="10"/>
        <v>100</v>
      </c>
      <c r="T39" s="667" t="s">
        <v>14</v>
      </c>
      <c r="U39" s="668">
        <f t="shared" si="11"/>
        <v>100</v>
      </c>
      <c r="V39" s="667" t="s">
        <v>14</v>
      </c>
      <c r="W39" s="668">
        <f t="shared" si="12"/>
        <v>100</v>
      </c>
      <c r="X39" s="1261"/>
      <c r="Y39" s="3407"/>
      <c r="Z39" s="1260">
        <f t="shared" si="13"/>
        <v>111</v>
      </c>
      <c r="AA39" s="1260">
        <f t="shared" si="3"/>
        <v>1</v>
      </c>
      <c r="AB39" s="1260">
        <f t="shared" si="4"/>
        <v>1</v>
      </c>
      <c r="AC39" s="1260">
        <f t="shared" si="5"/>
        <v>1</v>
      </c>
    </row>
    <row r="40" spans="1:31" s="408" customFormat="1" ht="15.75" thickBot="1">
      <c r="A40" s="406"/>
      <c r="B40" s="1063">
        <v>111</v>
      </c>
      <c r="C40" s="1823"/>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07"/>
      <c r="Q40" s="1259">
        <f t="shared" si="14"/>
        <v>111</v>
      </c>
      <c r="R40" s="669" t="s">
        <v>14</v>
      </c>
      <c r="S40" s="670">
        <f t="shared" si="10"/>
        <v>100</v>
      </c>
      <c r="T40" s="669" t="s">
        <v>14</v>
      </c>
      <c r="U40" s="670">
        <f t="shared" si="11"/>
        <v>100</v>
      </c>
      <c r="V40" s="669" t="s">
        <v>14</v>
      </c>
      <c r="W40" s="670">
        <f t="shared" si="12"/>
        <v>100</v>
      </c>
      <c r="X40" s="671"/>
      <c r="Y40" s="3407"/>
      <c r="Z40" s="672">
        <f t="shared" si="13"/>
        <v>111</v>
      </c>
      <c r="AA40" s="1260">
        <f t="shared" si="3"/>
        <v>1</v>
      </c>
      <c r="AB40" s="1260">
        <f t="shared" si="4"/>
        <v>1</v>
      </c>
      <c r="AC40" s="1260">
        <f t="shared" si="5"/>
        <v>1</v>
      </c>
    </row>
    <row r="41" spans="1:31" ht="15">
      <c r="A41" s="416" t="s">
        <v>1844</v>
      </c>
      <c r="B41" s="1824" t="s">
        <v>1922</v>
      </c>
      <c r="C41" s="602" t="s">
        <v>0</v>
      </c>
      <c r="D41" s="418"/>
      <c r="E41" s="419"/>
      <c r="F41" s="420"/>
      <c r="G41" s="421"/>
      <c r="H41" s="422"/>
      <c r="I41" s="419"/>
      <c r="J41" s="422"/>
      <c r="K41" s="674"/>
      <c r="L41" s="2487"/>
      <c r="M41" s="2480"/>
      <c r="N41" s="2480"/>
      <c r="O41" s="2480"/>
      <c r="P41" s="3400" t="str">
        <f>A41</f>
        <v>成交单价</v>
      </c>
      <c r="Q41" s="3400"/>
      <c r="R41" s="3401">
        <f>E41</f>
        <v>0</v>
      </c>
      <c r="S41" s="3401"/>
      <c r="T41" s="3401">
        <f>G41</f>
        <v>0</v>
      </c>
      <c r="U41" s="3401"/>
      <c r="V41" s="3401">
        <f>I41</f>
        <v>0</v>
      </c>
      <c r="W41" s="3401"/>
      <c r="X41" s="385"/>
      <c r="Y41" s="673"/>
      <c r="Z41" s="385"/>
      <c r="AA41" s="385"/>
      <c r="AB41" s="385"/>
      <c r="AC41" s="385"/>
    </row>
    <row r="42" spans="1:31" ht="15.75" thickBot="1">
      <c r="A42" s="423" t="s">
        <v>1793</v>
      </c>
      <c r="B42" s="603"/>
      <c r="C42" s="426" t="e">
        <f>R43</f>
        <v>#DIV/0!</v>
      </c>
      <c r="D42" s="2135" t="s">
        <v>2138</v>
      </c>
      <c r="E42" s="426" t="e">
        <f>R42</f>
        <v>#DIV/0!</v>
      </c>
      <c r="F42" s="2136"/>
      <c r="G42" s="425" t="e">
        <f>T42</f>
        <v>#DIV/0!</v>
      </c>
      <c r="H42" s="2136"/>
      <c r="I42" s="426" t="e">
        <f>V42</f>
        <v>#DIV/0!</v>
      </c>
      <c r="J42" s="2136"/>
      <c r="K42" s="2138">
        <f>F42+H42+J42</f>
        <v>0</v>
      </c>
      <c r="L42" s="2487"/>
      <c r="M42" s="2480"/>
      <c r="N42" s="2480"/>
      <c r="O42" s="2480"/>
      <c r="P42" s="3400" t="str">
        <f>A42</f>
        <v>比较价值（元/平方米）</v>
      </c>
      <c r="Q42" s="3400"/>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7"/>
      <c r="M43" s="2480"/>
      <c r="N43" s="2480"/>
      <c r="O43" s="2480"/>
      <c r="P43" s="3397" t="str">
        <f>A43</f>
        <v>估价对象XX用房的比较价值（楼面单价，元/平方米）</v>
      </c>
      <c r="Q43" s="3398"/>
      <c r="R43" s="3462" t="e">
        <f>ROUND(IF(D42="简单平均",AVERAGE(R42:W42),R42*F42+T42*H42+V42*J42),0)</f>
        <v>#DIV/0!</v>
      </c>
      <c r="S43" s="3462"/>
      <c r="T43" s="3462"/>
      <c r="U43" s="3462"/>
      <c r="V43" s="3462"/>
      <c r="W43" s="3462"/>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1881</v>
      </c>
      <c r="B50" s="605" t="s">
        <v>1882</v>
      </c>
      <c r="C50" s="1825" t="s">
        <v>1883</v>
      </c>
      <c r="D50" s="1826" t="s">
        <v>1884</v>
      </c>
      <c r="E50" s="606" t="s">
        <v>1885</v>
      </c>
      <c r="F50" s="607" t="s">
        <v>1886</v>
      </c>
      <c r="G50" s="3415" t="s">
        <v>1887</v>
      </c>
      <c r="H50" s="3463"/>
      <c r="I50" s="1260" t="s">
        <v>1923</v>
      </c>
      <c r="J50" s="1260">
        <f>项目基本情况!F35</f>
        <v>0</v>
      </c>
      <c r="K50" s="1828"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6">
        <v>1</v>
      </c>
      <c r="E51" s="610">
        <f>'数据-汇总表'!E8+'数据-汇总表'!E9</f>
        <v>154.79</v>
      </c>
      <c r="F51" s="611" t="e">
        <f t="shared" ref="F51:F60" si="15">ROUND(B51*E51/10000,0)</f>
        <v>#DIV/0!</v>
      </c>
      <c r="G51" s="3411"/>
      <c r="H51" s="3400"/>
      <c r="I51" s="723">
        <v>1</v>
      </c>
      <c r="J51" s="723">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0.6</v>
      </c>
      <c r="D52" s="887">
        <v>0.25</v>
      </c>
      <c r="E52" s="614"/>
      <c r="F52" s="611" t="e">
        <f t="shared" si="15"/>
        <v>#DIV/0!</v>
      </c>
      <c r="G52" s="2743" t="s">
        <v>1892</v>
      </c>
      <c r="H52" s="830" t="str">
        <f>项目基本情况!B37</f>
        <v>四级</v>
      </c>
      <c r="I52" s="723">
        <f>SUMIF(修正!A59:A70,H52,修正!B59:B70)</f>
        <v>0.6</v>
      </c>
      <c r="J52" s="724"/>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0.3</v>
      </c>
      <c r="D53" s="887">
        <v>0.25</v>
      </c>
      <c r="E53" s="614"/>
      <c r="F53" s="611" t="e">
        <f t="shared" si="15"/>
        <v>#DIV/0!</v>
      </c>
      <c r="G53" s="2744"/>
      <c r="H53" s="830" t="str">
        <f>项目基本情况!B37</f>
        <v>四级</v>
      </c>
      <c r="I53" s="723">
        <f>SUMIF(修正!A59:A70,H53,修正!C59:C70)</f>
        <v>0.3</v>
      </c>
      <c r="J53" s="724"/>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0.25</v>
      </c>
      <c r="D54" s="887">
        <v>0.25</v>
      </c>
      <c r="E54" s="614"/>
      <c r="F54" s="611" t="e">
        <f t="shared" si="15"/>
        <v>#DIV/0!</v>
      </c>
      <c r="G54" s="2744"/>
      <c r="H54" s="830" t="str">
        <f>项目基本情况!B37</f>
        <v>四级</v>
      </c>
      <c r="I54" s="723">
        <f>SUMIF(修正!A59:A70,H54,修正!D59:D70)</f>
        <v>0.25</v>
      </c>
      <c r="J54" s="724"/>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7"/>
      <c r="E55" s="614"/>
      <c r="F55" s="611"/>
      <c r="G55" s="2745"/>
      <c r="H55" s="830"/>
      <c r="I55" s="723"/>
      <c r="J55" s="724"/>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0.25</v>
      </c>
      <c r="D56" s="887">
        <v>0.25</v>
      </c>
      <c r="E56" s="209">
        <f>'数据-汇总表'!E11</f>
        <v>0</v>
      </c>
      <c r="F56" s="611" t="e">
        <f t="shared" si="15"/>
        <v>#DIV/0!</v>
      </c>
      <c r="G56" s="1829" t="s">
        <v>1896</v>
      </c>
      <c r="H56" s="830" t="str">
        <f>项目基本情况!C37</f>
        <v>四级</v>
      </c>
      <c r="I56" s="723">
        <f>SUMIF(修正!A59:A70,H56,修正!E59:E70)</f>
        <v>0.25</v>
      </c>
      <c r="J56" s="724"/>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0.25</v>
      </c>
      <c r="D57" s="887">
        <v>0.25</v>
      </c>
      <c r="E57" s="209">
        <f>'数据-汇总表'!E12</f>
        <v>0</v>
      </c>
      <c r="F57" s="611" t="e">
        <f t="shared" si="15"/>
        <v>#DIV/0!</v>
      </c>
      <c r="G57" s="835" t="s">
        <v>1898</v>
      </c>
      <c r="H57" s="830" t="str">
        <f>IF(G57="商业",项目基本情况!B37,IF(G57="办公",项目基本情况!C37,IF(G57="住宅",项目基本情况!D37,项目基本情况!E37)))</f>
        <v>四级</v>
      </c>
      <c r="I57" s="723">
        <f>SUMIF(修正!A59:A70,H57,修正!F59:F70)</f>
        <v>0.25</v>
      </c>
      <c r="J57" s="724"/>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7">
        <v>0.25</v>
      </c>
      <c r="E58" s="209">
        <f>'数据-汇总表'!E13</f>
        <v>0</v>
      </c>
      <c r="F58" s="611" t="e">
        <f t="shared" si="15"/>
        <v>#DIV/0!</v>
      </c>
      <c r="G58" s="835" t="s">
        <v>1900</v>
      </c>
      <c r="H58" s="830">
        <f>IF(G58="商业",项目基本情况!B37,IF(G58="办公",项目基本情况!C37,IF(G58="住宅",项目基本情况!D37,项目基本情况!E37)))</f>
        <v>0</v>
      </c>
      <c r="I58" s="723">
        <f>SUMIF(修正!A59:A70,H58,修正!G59:G70)</f>
        <v>0</v>
      </c>
      <c r="J58" s="724"/>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0.15</v>
      </c>
      <c r="D59" s="887">
        <v>0.25</v>
      </c>
      <c r="E59" s="209">
        <f>'数据-汇总表'!E14</f>
        <v>0</v>
      </c>
      <c r="F59" s="611" t="e">
        <f t="shared" si="15"/>
        <v>#DIV/0!</v>
      </c>
      <c r="G59" s="1829" t="s">
        <v>1892</v>
      </c>
      <c r="H59" s="830" t="str">
        <f>项目基本情况!B37</f>
        <v>四级</v>
      </c>
      <c r="I59" s="723">
        <f>SUMIF(修正!A59:A70,H59,修正!G59:G70)</f>
        <v>0.15</v>
      </c>
      <c r="J59" s="724"/>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1902</v>
      </c>
      <c r="B60" s="210" t="e">
        <f t="shared" si="17"/>
        <v>#DIV/0!</v>
      </c>
      <c r="C60" s="163">
        <f t="shared" si="16"/>
        <v>0.15</v>
      </c>
      <c r="D60" s="887">
        <v>0.25</v>
      </c>
      <c r="E60" s="209">
        <f>'数据-汇总表'!E15</f>
        <v>0</v>
      </c>
      <c r="F60" s="611" t="e">
        <f t="shared" si="15"/>
        <v>#DIV/0!</v>
      </c>
      <c r="G60" s="1830" t="s">
        <v>1896</v>
      </c>
      <c r="H60" s="840" t="str">
        <f>项目基本情况!C37</f>
        <v>四级</v>
      </c>
      <c r="I60" s="723">
        <f>SUMIF(修正!A59:A70,H60,修正!G59:G70)</f>
        <v>0.15</v>
      </c>
      <c r="J60" s="724"/>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1"/>
      <c r="H61" s="881"/>
      <c r="I61" s="881"/>
      <c r="J61" s="881"/>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7"/>
      <c r="B62" s="871"/>
      <c r="C62" s="873"/>
      <c r="D62" s="857"/>
      <c r="E62" s="857"/>
      <c r="F62" s="857"/>
      <c r="G62" s="857"/>
      <c r="H62" s="857"/>
      <c r="I62" s="857"/>
      <c r="J62" s="857"/>
      <c r="K62" s="831"/>
      <c r="L62" s="832"/>
      <c r="M62" s="857"/>
      <c r="N62" s="857"/>
      <c r="O62" s="857"/>
      <c r="P62" s="2480"/>
      <c r="Q62" s="2480"/>
      <c r="R62" s="2480"/>
      <c r="S62" s="2480"/>
      <c r="T62" s="2480"/>
      <c r="U62" s="2480"/>
      <c r="V62" s="2480"/>
      <c r="W62" s="2480"/>
      <c r="X62" s="2480"/>
      <c r="Y62" s="2480"/>
      <c r="Z62" s="2480"/>
      <c r="AA62" s="2480"/>
      <c r="AB62" s="2480"/>
      <c r="AC62" s="2480"/>
      <c r="AD62" s="2480"/>
      <c r="AE62" s="2480"/>
    </row>
    <row r="63" spans="1:31">
      <c r="A63" s="857"/>
      <c r="B63" s="871"/>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0"/>
      <c r="Q63" s="2480"/>
      <c r="R63" s="2480"/>
      <c r="S63" s="2480"/>
      <c r="T63" s="2480"/>
      <c r="U63" s="2480"/>
      <c r="V63" s="2480"/>
      <c r="W63" s="2480"/>
      <c r="X63" s="2480"/>
      <c r="Y63" s="2480"/>
      <c r="Z63" s="2480"/>
      <c r="AA63" s="2480"/>
      <c r="AB63" s="2480"/>
      <c r="AC63" s="2480"/>
      <c r="AD63" s="2480"/>
      <c r="AE63" s="2480"/>
    </row>
    <row r="64" spans="1:31" ht="21.75" thickBot="1">
      <c r="A64" s="658" t="s">
        <v>1798</v>
      </c>
      <c r="B64" s="385"/>
      <c r="C64" s="659"/>
      <c r="D64" s="659"/>
      <c r="E64" s="659"/>
      <c r="F64" s="660"/>
      <c r="G64" s="660"/>
      <c r="H64" s="659"/>
      <c r="I64" s="659"/>
      <c r="J64" s="659"/>
      <c r="K64" s="661"/>
      <c r="L64" s="662"/>
      <c r="M64" s="659"/>
      <c r="N64" s="659"/>
      <c r="O64" s="882"/>
      <c r="P64" s="2530"/>
      <c r="Q64" s="2501"/>
      <c r="R64" s="2480"/>
      <c r="S64" s="2480"/>
      <c r="T64" s="2480"/>
      <c r="U64" s="2480"/>
      <c r="V64" s="2480"/>
      <c r="W64" s="2480"/>
      <c r="X64" s="2480"/>
      <c r="Y64" s="2480"/>
      <c r="Z64" s="2480"/>
      <c r="AA64" s="2480"/>
      <c r="AB64" s="2480"/>
      <c r="AC64" s="2480"/>
      <c r="AD64" s="2480"/>
      <c r="AE64" s="2480"/>
    </row>
    <row r="65" spans="1:31" s="442" customFormat="1" ht="15">
      <c r="A65" s="1626" t="s">
        <v>1904</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1924</v>
      </c>
      <c r="B66" s="280" t="str">
        <f>"北京市平均增长率"&amp;TEXT('基准地价修正-商业'!P28,"0.00%")</f>
        <v>北京市平均增长率0.00%</v>
      </c>
      <c r="C66" s="530">
        <v>100</v>
      </c>
      <c r="D66" s="6"/>
      <c r="E66" s="6"/>
      <c r="F66" s="6"/>
      <c r="G66" s="6"/>
      <c r="H66" s="6"/>
      <c r="I66" s="6"/>
      <c r="J66" s="6"/>
      <c r="K66" s="6"/>
      <c r="L66" s="6"/>
      <c r="M66" s="1062"/>
      <c r="N66" s="1062"/>
      <c r="O66" s="1095"/>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9" t="s">
        <v>1716</v>
      </c>
      <c r="B67" s="450"/>
      <c r="C67" s="451"/>
      <c r="D67" s="452"/>
      <c r="E67" s="452"/>
      <c r="F67" s="452"/>
      <c r="G67" s="452"/>
      <c r="H67" s="452"/>
      <c r="I67" s="452"/>
      <c r="J67" s="452"/>
      <c r="K67" s="452"/>
      <c r="L67" s="452"/>
      <c r="M67" s="453"/>
      <c r="N67" s="453"/>
      <c r="O67" s="454"/>
      <c r="P67" s="2501"/>
      <c r="Q67" s="2501"/>
      <c r="R67" s="2432"/>
      <c r="S67" s="2432"/>
      <c r="T67" s="2432"/>
      <c r="U67" s="2432"/>
      <c r="V67" s="2432"/>
      <c r="W67" s="2432"/>
      <c r="X67" s="2432"/>
      <c r="Y67" s="2432"/>
      <c r="Z67" s="2432"/>
      <c r="AA67" s="2432"/>
      <c r="AB67" s="2432"/>
      <c r="AC67" s="2432"/>
      <c r="AD67" s="2432"/>
      <c r="AE67" s="2432"/>
    </row>
    <row r="68" spans="1:31" s="102" customFormat="1" ht="15">
      <c r="A68" s="455" t="s">
        <v>1681</v>
      </c>
      <c r="B68" s="444"/>
      <c r="C68" s="456" t="s">
        <v>1776</v>
      </c>
      <c r="D68" s="31"/>
      <c r="E68" s="31"/>
      <c r="F68" s="31"/>
      <c r="G68" s="31"/>
      <c r="H68" s="31"/>
      <c r="I68" s="31"/>
      <c r="J68" s="31"/>
      <c r="K68" s="31"/>
      <c r="L68" s="457"/>
      <c r="M68" s="458"/>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4" t="str">
        <f>IF(项目基本情况!B9="房地产市场价值","估价结果一览表","结果表-2")</f>
        <v>估价结果一览表</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房地产市场价值</v>
      </c>
      <c r="I2" s="3205"/>
    </row>
    <row r="3" spans="1:9" ht="15">
      <c r="A3" s="3200"/>
      <c r="B3" s="3200"/>
      <c r="C3" s="3200"/>
      <c r="D3" s="797" t="s">
        <v>925</v>
      </c>
      <c r="E3" s="797" t="s">
        <v>931</v>
      </c>
      <c r="F3" s="797" t="s">
        <v>925</v>
      </c>
      <c r="G3" s="797" t="s">
        <v>926</v>
      </c>
      <c r="H3" s="797" t="s">
        <v>925</v>
      </c>
      <c r="I3" s="797" t="s">
        <v>926</v>
      </c>
    </row>
    <row r="4" spans="1:9" ht="15">
      <c r="A4" s="1399" t="str">
        <f>项目基本情况!S2</f>
        <v>房地产</v>
      </c>
      <c r="B4" s="797">
        <f>项目基本情况!C17</f>
        <v>154.79</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199" t="str">
        <f>结果表!A120</f>
        <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
      </c>
      <c r="B8" s="3199"/>
      <c r="C8" s="3199"/>
      <c r="D8" s="3199" t="e">
        <f ca="1">结果表!D122</f>
        <v>#REF!</v>
      </c>
      <c r="E8" s="3199"/>
      <c r="F8" s="3199"/>
      <c r="G8" s="3199"/>
      <c r="H8" s="3199"/>
      <c r="I8" s="3199"/>
    </row>
    <row r="9" spans="1:9" ht="15">
      <c r="A9" s="3200" t="s">
        <v>927</v>
      </c>
      <c r="B9" s="3200"/>
      <c r="C9" s="3200"/>
      <c r="D9" s="3200" t="e">
        <f ca="1">结果表!D123</f>
        <v>#REF!</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
      </c>
      <c r="B12" s="3199"/>
      <c r="C12" s="3199"/>
      <c r="D12" s="3199" t="str">
        <f>结果表!D126</f>
        <v>——</v>
      </c>
      <c r="E12" s="3199"/>
      <c r="F12" s="3199"/>
      <c r="G12" s="3199"/>
      <c r="H12" s="3199"/>
      <c r="I12" s="3199"/>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2083</v>
      </c>
      <c r="C1" s="3471" t="s">
        <v>2084</v>
      </c>
      <c r="D1" s="3472"/>
      <c r="E1" s="3472"/>
      <c r="F1" s="3472"/>
      <c r="G1" s="3472"/>
      <c r="H1" s="3472"/>
      <c r="I1" s="3472"/>
      <c r="J1" s="3472"/>
      <c r="K1" s="3472"/>
      <c r="L1" s="3472"/>
      <c r="M1" s="3472"/>
      <c r="N1" s="3472"/>
      <c r="O1" s="3472"/>
      <c r="P1" s="3472"/>
      <c r="Q1" s="3472"/>
      <c r="R1" s="3472"/>
      <c r="S1" s="3473"/>
      <c r="T1" s="925" t="s">
        <v>2085</v>
      </c>
    </row>
    <row r="2" spans="1:45" s="625" customFormat="1">
      <c r="A2" s="926"/>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2087</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2088</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2089</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2090</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2091</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2092</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2" t="s">
        <v>2095</v>
      </c>
      <c r="E19" s="1249"/>
      <c r="F19" s="1249"/>
      <c r="G19" s="1249"/>
      <c r="H19" s="992"/>
      <c r="I19" s="151"/>
      <c r="J19" s="151"/>
      <c r="K19" s="151"/>
      <c r="L19" s="151"/>
      <c r="M19" s="151"/>
      <c r="N19" s="151"/>
      <c r="O19" s="151"/>
      <c r="P19" s="151"/>
      <c r="Q19" s="151"/>
      <c r="R19" s="151"/>
      <c r="S19" s="121"/>
    </row>
    <row r="20" spans="1:45" ht="16.5" thickBot="1">
      <c r="A20" s="632" t="s">
        <v>2096</v>
      </c>
      <c r="B20" s="286" t="e">
        <f ca="1">IF(D20="——",S22,S22-F20)</f>
        <v>#REF!</v>
      </c>
      <c r="C20" s="151"/>
      <c r="D20" s="1983"/>
      <c r="E20" s="1250"/>
      <c r="F20" s="925" t="e">
        <f ca="1">SUMIF(INDIRECT("'"&amp;H20&amp;"'"&amp;"!A:A"),"承租人权益价值",INDIRECT("'"&amp;H20&amp;"'"&amp;"!c:c"))</f>
        <v>#REF!</v>
      </c>
      <c r="G20" s="925" t="s">
        <v>2097</v>
      </c>
      <c r="H20" s="1984"/>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2081</v>
      </c>
      <c r="B1" s="4"/>
      <c r="C1" s="4"/>
      <c r="D1" s="4"/>
      <c r="E1" s="4"/>
      <c r="F1" s="2537"/>
      <c r="G1" s="2537"/>
      <c r="H1" s="2537"/>
      <c r="I1" s="2537"/>
      <c r="J1" s="2537"/>
      <c r="K1" s="2537"/>
      <c r="L1" s="2537"/>
      <c r="M1" s="2537"/>
      <c r="N1" s="2537"/>
      <c r="O1" s="2537"/>
      <c r="P1" s="2537"/>
    </row>
    <row r="2" spans="1:16" ht="15.75">
      <c r="A2" s="1978" t="s">
        <v>2073</v>
      </c>
      <c r="B2" s="2380">
        <f ca="1">SUMIF(B6:B13,"&lt;&gt;#ref!",B6:B13)</f>
        <v>0</v>
      </c>
      <c r="C2" s="1978" t="s">
        <v>2074</v>
      </c>
      <c r="D2" s="1978" t="s">
        <v>2075</v>
      </c>
      <c r="E2" s="2390">
        <f ca="1">SUMIF(E6:E13,"&lt;&gt;#ref!",E6:E13)</f>
        <v>0</v>
      </c>
      <c r="F2" s="2537"/>
      <c r="G2" s="2537"/>
      <c r="H2" s="2537"/>
      <c r="I2" s="2537"/>
      <c r="J2" s="2537"/>
      <c r="K2" s="2537"/>
      <c r="L2" s="2537"/>
      <c r="M2" s="2537"/>
      <c r="N2" s="2537"/>
      <c r="O2" s="2537"/>
      <c r="P2" s="2537"/>
    </row>
    <row r="3" spans="1:16" ht="15.75">
      <c r="A3" s="1978" t="s">
        <v>2076</v>
      </c>
      <c r="B3" s="2380" t="e">
        <f ca="1">ROUND(B2*10000/E2,0)</f>
        <v>#DIV/0!</v>
      </c>
      <c r="C3" s="1978"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9"/>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#REF!</v>
      </c>
      <c r="C6" s="1978" t="s">
        <v>2074</v>
      </c>
      <c r="D6" s="2537"/>
      <c r="E6" s="2390" t="e">
        <f ca="1">SUMIF(INDIRECT("'"&amp;A6&amp;"'"&amp;"!C:C"),"建筑面积",INDIRECT("'"&amp;A6&amp;"'"&amp;"!D:D"))</f>
        <v>#REF!</v>
      </c>
      <c r="F6" s="2537"/>
      <c r="G6" s="2537"/>
      <c r="H6" s="2537"/>
      <c r="I6" s="2537"/>
      <c r="J6" s="2537"/>
      <c r="K6" s="2537"/>
      <c r="L6" s="2537"/>
      <c r="M6" s="2537"/>
      <c r="N6" s="2537"/>
      <c r="O6" s="2537"/>
      <c r="P6" s="2537"/>
    </row>
    <row r="7" spans="1:16" ht="15.75">
      <c r="A7" s="2387"/>
      <c r="B7" s="2380" t="e">
        <f ca="1">SUMIF(INDIRECT("'"&amp;A7&amp;"'"&amp;"!A:A"),"总价",INDIRECT("'"&amp;A7&amp;"'"&amp;"!B:B"))</f>
        <v>#REF!</v>
      </c>
      <c r="C7" s="1978"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3409</v>
      </c>
      <c r="F3" s="1842" t="s">
        <v>3423</v>
      </c>
      <c r="G3" s="704">
        <f>IF(F3="宗地容积率",'数据-汇总表'!I4,IF(F3="估价对象容积率",'数据-汇总表'!I6,'数据-汇总表'!I7))</f>
        <v>0</v>
      </c>
      <c r="H3" s="162"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476"/>
      <c r="B4" s="3477"/>
      <c r="C4" s="3477"/>
      <c r="D4" s="3478"/>
      <c r="E4" s="3478"/>
      <c r="F4" s="3478"/>
      <c r="G4" s="3478"/>
      <c r="H4" s="3478"/>
      <c r="I4" s="3478"/>
      <c r="J4" s="3479"/>
      <c r="K4" s="1052"/>
      <c r="L4" s="1841" t="s">
        <v>1946</v>
      </c>
      <c r="M4" s="807">
        <f>SUMPRODUCT((区片价!B55:B86=I2)*(区片价!C3:G3=E2)*(区片价!C55:G86))</f>
        <v>16540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17367</v>
      </c>
      <c r="D5" s="1248">
        <f>ROUND(C6*C17+C20,0)</f>
        <v>16540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16540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si="1"/>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t="e">
        <f>IF(C8="不临65条商业街",1,ROUND(1+(1.6*E8+1.2*E9+0.8*E10+0.4*E11)*C9,4))</f>
        <v>#DIV/0!</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1"/>
        <v>#DIV/0!</v>
      </c>
      <c r="W7" s="1263" t="s">
        <v>1955</v>
      </c>
      <c r="X7" s="1127" t="str">
        <f>G2</f>
        <v>四级</v>
      </c>
      <c r="Y7" s="1127" t="s">
        <v>1956</v>
      </c>
      <c r="Z7" s="1128">
        <f>G3</f>
        <v>0</v>
      </c>
      <c r="AA7" s="1129"/>
      <c r="AB7" s="1129"/>
      <c r="AC7" s="1130"/>
      <c r="AD7" s="1131"/>
      <c r="AE7" s="1131"/>
      <c r="AF7" s="1131"/>
      <c r="AG7" s="1131"/>
      <c r="AH7" s="1131"/>
      <c r="AI7" s="1131"/>
      <c r="AJ7" s="1132"/>
    </row>
    <row r="8" spans="1:36" ht="15">
      <c r="A8" s="3002"/>
      <c r="B8" s="162"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1"/>
        <v>#DIV/0!</v>
      </c>
      <c r="W8" s="3480" t="s">
        <v>1960</v>
      </c>
      <c r="X8" s="3481"/>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1"/>
        <v>#DIV/0!</v>
      </c>
      <c r="W9" s="3482"/>
      <c r="X9" s="3057" t="s">
        <v>3263</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1"/>
        <v>#DIV/0!</v>
      </c>
      <c r="W10" s="348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v>1.05</v>
      </c>
      <c r="D12" s="3008" t="s">
        <v>3236</v>
      </c>
      <c r="E12" s="3009" t="s">
        <v>3237</v>
      </c>
      <c r="F12" s="3010"/>
      <c r="G12" s="3162" t="s">
        <v>3424</v>
      </c>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0.93120000000000003</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3" t="s">
        <v>3250</v>
      </c>
      <c r="B20" s="159" t="s">
        <v>1994</v>
      </c>
      <c r="C20" s="3024">
        <f>ROUND(IF(F21="与级别开发程度一致",0,(G21-E21)/C21),0)</f>
        <v>0</v>
      </c>
      <c r="D20" s="3039" t="s">
        <v>1998</v>
      </c>
      <c r="E20" s="3040"/>
      <c r="F20" s="3485" t="s">
        <v>1995</v>
      </c>
      <c r="G20" s="3486"/>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4"/>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50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3330</v>
      </c>
      <c r="C25" s="461">
        <f>IF(B25="容积率修正",IF(G3&lt;10,D26,J26),C27)</f>
        <v>0</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1.0588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4"/>
      <c r="B37" s="1949" t="s">
        <v>2036</v>
      </c>
      <c r="C37" s="167" t="e">
        <f>ROUND(D5*C22*C23*C24*C28*F37,0)</f>
        <v>#DIV/0!</v>
      </c>
      <c r="D37" s="1934"/>
      <c r="E37" s="163" t="e">
        <f>ROUND(C37*D37/10000,0)</f>
        <v>#DIV/0!</v>
      </c>
      <c r="F37" s="163">
        <f>SUMIF(修正!A59:A70,G2,修正!B59:B70)</f>
        <v>0.6</v>
      </c>
      <c r="G37" s="163" t="e">
        <f>ROUND(IF(E2="工业",C37*$M$42,C37*$M$41),0)</f>
        <v>#DIV/0!</v>
      </c>
      <c r="H37" s="163">
        <f>D37</f>
        <v>0</v>
      </c>
      <c r="I37" s="163" t="e">
        <f>ROUND(G37*H37/10000,0)</f>
        <v>#DIV/0!</v>
      </c>
      <c r="J37" s="2747"/>
      <c r="K37" s="3054" t="s">
        <v>3261</v>
      </c>
      <c r="L37" s="1958">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75"/>
      <c r="B38" s="1878" t="s">
        <v>2037</v>
      </c>
      <c r="C38" s="167" t="e">
        <f>ROUND(D5*C22*C23*C24*C28*F38,0)</f>
        <v>#DIV/0!</v>
      </c>
      <c r="D38" s="1934"/>
      <c r="E38" s="163" t="e">
        <f t="shared" ref="E38:E39" si="4">ROUND(C38*D38/10000,0)</f>
        <v>#DIV/0!</v>
      </c>
      <c r="F38" s="163">
        <f>SUMIF(修正!A59:A70,G2,修正!C59:C70)</f>
        <v>0.3</v>
      </c>
      <c r="G38" s="163" t="e">
        <f>ROUND(IF(E2="工业",C38*$M$42,C38*$M$41),0)</f>
        <v>#DIV/0!</v>
      </c>
      <c r="H38" s="163">
        <f t="shared" ref="H38:H42" si="5">D38</f>
        <v>0</v>
      </c>
      <c r="I38" s="163" t="e">
        <f t="shared" ref="I38:I39" si="6">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75"/>
      <c r="B39" s="1878" t="s">
        <v>3254</v>
      </c>
      <c r="C39" s="167" t="e">
        <f>ROUND(D5*C22*C23*C24*C28*F39,0)</f>
        <v>#DIV/0!</v>
      </c>
      <c r="D39" s="1934"/>
      <c r="E39" s="163" t="e">
        <f t="shared" si="4"/>
        <v>#DIV/0!</v>
      </c>
      <c r="F39" s="163">
        <f>SUMIF(修正!A59:A70,G2,修正!D59:D70)</f>
        <v>0.25</v>
      </c>
      <c r="G39" s="163" t="e">
        <f>ROUND(IF(E2="工业",C39*$M$42,C39*$M$41),0)</f>
        <v>#DIV/0!</v>
      </c>
      <c r="H39" s="163">
        <f t="shared" si="5"/>
        <v>0</v>
      </c>
      <c r="I39" s="163" t="e">
        <f t="shared" si="6"/>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t="e">
        <f>#REF!</f>
        <v>#REF!</v>
      </c>
      <c r="E40" s="163" t="e">
        <f>ROUND(C40*D40,0)</f>
        <v>#DIV/0!</v>
      </c>
      <c r="F40" s="167">
        <f>SUMIF(修正!A59:A70,G2,修正!E59:E70)</f>
        <v>0.25</v>
      </c>
      <c r="G40" s="163" t="e">
        <f>ROUND(IF(E2="工业",C40*$M$42,C40*$M$41),0)</f>
        <v>#DIV/0!</v>
      </c>
      <c r="H40" s="163" t="e">
        <f t="shared" si="5"/>
        <v>#REF!</v>
      </c>
      <c r="I40" s="163" t="e">
        <f>ROUND(G40*H40,0)</f>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t="e">
        <f>ROUND(D5*C22*C23*C44*C28*F41,0)</f>
        <v>#VALUE!</v>
      </c>
      <c r="D41" s="1934" t="e">
        <f>#REF!</f>
        <v>#REF!</v>
      </c>
      <c r="E41" s="163" t="e">
        <f>ROUND(C41*D41,0)</f>
        <v>#VALUE!</v>
      </c>
      <c r="F41" s="167">
        <f>SUMIF(修正!A59:A70,G2,修正!F59:F70)</f>
        <v>0.25</v>
      </c>
      <c r="G41" s="163" t="e">
        <f>ROUND(IF(E2="工业",C41*$M$42,C41*$M$41),0)</f>
        <v>#VALUE!</v>
      </c>
      <c r="H41" s="163" t="e">
        <f t="shared" si="5"/>
        <v>#REF!</v>
      </c>
      <c r="I41" s="163" t="e">
        <f>ROUND(G41*H41,0)</f>
        <v>#VALUE!</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t="e">
        <f>ROUND(D5*C22*C23*C44*C28*F42,0)</f>
        <v>#VALUE!</v>
      </c>
      <c r="D42" s="1939" t="e">
        <f>#REF!+#REF!</f>
        <v>#REF!</v>
      </c>
      <c r="E42" s="179" t="e">
        <f>ROUND(C42*D42,0)</f>
        <v>#VALUE!</v>
      </c>
      <c r="F42" s="719">
        <f>SUMIF(修正!A59:A70,G2,修正!G59:G70)</f>
        <v>0.15</v>
      </c>
      <c r="G42" s="179" t="e">
        <f>ROUND(IF(E2="工业",C42*$M$42,C42*$M$41),0)</f>
        <v>#VALUE!</v>
      </c>
      <c r="H42" s="179" t="e">
        <f t="shared" si="5"/>
        <v>#REF!</v>
      </c>
      <c r="I42" s="179" t="e">
        <f>ROUND(G42*H42,0)</f>
        <v>#VALUE!</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t="e">
        <f>ROUND(POWER(1+E44,H44-G44)*(POWER(1+E44,G44)-1)/(POWER(1+E44,H44)-1),4)</f>
        <v>#VALUE!</v>
      </c>
      <c r="D44" s="163" t="s">
        <v>1999</v>
      </c>
      <c r="E44" s="1985">
        <f>G24</f>
        <v>5.5E-2</v>
      </c>
      <c r="F44" s="163" t="s">
        <v>2008</v>
      </c>
      <c r="G44" s="175" t="str">
        <f>项目基本情况!F15</f>
        <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c r="D50" s="998">
        <f t="shared" ref="D50:D58" si="7">SUMIF($J$49:$N$49,C50,J50:N50)</f>
        <v>0</v>
      </c>
      <c r="E50" s="698">
        <f>ROUND(SUM(D50:D58),4)</f>
        <v>0</v>
      </c>
      <c r="F50" s="1671" t="str">
        <f>IF(E2="商业",SUMIF(L1:L12,G2,N1:N12),"——")</f>
        <v>——</v>
      </c>
      <c r="G50" s="996"/>
      <c r="H50" s="999" t="str">
        <f t="shared" ref="H50:H58" si="8">IFERROR(ROUNDDOWN($F$50*I50/2,4),"——")</f>
        <v>——</v>
      </c>
      <c r="I50" s="3061">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c r="D51" s="998">
        <f t="shared" si="7"/>
        <v>0</v>
      </c>
      <c r="E51" s="699"/>
      <c r="F51" s="1671"/>
      <c r="G51" s="996"/>
      <c r="H51" s="999" t="str">
        <f t="shared" si="8"/>
        <v>——</v>
      </c>
      <c r="I51" s="3061">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c r="D52" s="998">
        <f t="shared" si="7"/>
        <v>0</v>
      </c>
      <c r="E52" s="699"/>
      <c r="F52" s="1671"/>
      <c r="G52" s="996"/>
      <c r="H52" s="999" t="str">
        <f t="shared" si="8"/>
        <v>——</v>
      </c>
      <c r="I52" s="3061">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4" t="s">
        <v>2054</v>
      </c>
      <c r="B53" s="1968" t="s">
        <v>2055</v>
      </c>
      <c r="C53" s="1881"/>
      <c r="D53" s="998">
        <f t="shared" si="7"/>
        <v>0</v>
      </c>
      <c r="E53" s="699"/>
      <c r="F53" s="1671"/>
      <c r="G53" s="996"/>
      <c r="H53" s="999" t="str">
        <f t="shared" si="8"/>
        <v>——</v>
      </c>
      <c r="I53" s="3061">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c r="D54" s="998">
        <f t="shared" si="7"/>
        <v>0</v>
      </c>
      <c r="E54" s="699"/>
      <c r="F54" s="1671"/>
      <c r="G54" s="996"/>
      <c r="H54" s="999" t="str">
        <f t="shared" si="8"/>
        <v>——</v>
      </c>
      <c r="I54" s="3061">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4" t="s">
        <v>2057</v>
      </c>
      <c r="B55" s="1969" t="s">
        <v>2058</v>
      </c>
      <c r="C55" s="1881"/>
      <c r="D55" s="998">
        <f t="shared" si="7"/>
        <v>0</v>
      </c>
      <c r="E55" s="699"/>
      <c r="F55" s="1671"/>
      <c r="G55" s="996"/>
      <c r="H55" s="999" t="str">
        <f t="shared" si="8"/>
        <v>——</v>
      </c>
      <c r="I55" s="3061">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c r="D56" s="998">
        <f t="shared" si="7"/>
        <v>0</v>
      </c>
      <c r="E56" s="699"/>
      <c r="F56" s="1671"/>
      <c r="G56" s="996"/>
      <c r="H56" s="999" t="str">
        <f t="shared" si="8"/>
        <v>——</v>
      </c>
      <c r="I56" s="3061">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c r="D57" s="998">
        <f t="shared" si="7"/>
        <v>0</v>
      </c>
      <c r="E57" s="699"/>
      <c r="F57" s="1671"/>
      <c r="G57" s="996"/>
      <c r="H57" s="999" t="str">
        <f t="shared" si="8"/>
        <v>——</v>
      </c>
      <c r="I57" s="3061">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c r="D58" s="998">
        <f t="shared" si="7"/>
        <v>0</v>
      </c>
      <c r="E58" s="700"/>
      <c r="F58" s="1671"/>
      <c r="G58" s="996"/>
      <c r="H58" s="999" t="str">
        <f t="shared" si="8"/>
        <v>——</v>
      </c>
      <c r="I58" s="3062">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1" t="s">
        <v>2062</v>
      </c>
      <c r="B59" s="1962">
        <f>1+E61</f>
        <v>1.0588</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t="s">
        <v>3426</v>
      </c>
      <c r="D61" s="998">
        <f t="shared" ref="D61:D69" si="12">SUMIF($J$60:$N$60,C61,J61:N61)</f>
        <v>1.2200000000000001E-2</v>
      </c>
      <c r="E61" s="698">
        <f>ROUND(SUM(D61:D69),4)</f>
        <v>5.8799999999999998E-2</v>
      </c>
      <c r="F61" s="1671">
        <f>IF(E2="办公",SUMIF(L1:L12,G2,N1:N12),"——")</f>
        <v>9.8000000000000004E-2</v>
      </c>
      <c r="G61" s="996">
        <v>1.2200000000000001E-2</v>
      </c>
      <c r="H61" s="999">
        <f t="shared" ref="H61:H69" si="13">IFERROR(ROUNDDOWN($F$61*I61/2,4),"——")</f>
        <v>1.2200000000000001E-2</v>
      </c>
      <c r="I61" s="3061">
        <v>0.25</v>
      </c>
      <c r="J61" s="997">
        <f t="shared" ref="J61:J69" si="14">K61+$G61</f>
        <v>2.4400000000000002E-2</v>
      </c>
      <c r="K61" s="997">
        <f t="shared" ref="K61:K69" si="15">$L61+$G61</f>
        <v>1.2200000000000001E-2</v>
      </c>
      <c r="L61" s="997">
        <v>0</v>
      </c>
      <c r="M61" s="997">
        <f t="shared" ref="M61:N69" si="16">L61-$G61</f>
        <v>-1.2200000000000001E-2</v>
      </c>
      <c r="N61" s="997">
        <f t="shared" si="16"/>
        <v>-2.4400000000000002E-2</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t="s">
        <v>3426</v>
      </c>
      <c r="D62" s="998">
        <f t="shared" si="12"/>
        <v>1.2699999999999999E-2</v>
      </c>
      <c r="E62" s="699"/>
      <c r="F62" s="1671"/>
      <c r="G62" s="996">
        <v>1.2699999999999999E-2</v>
      </c>
      <c r="H62" s="999">
        <f t="shared" si="13"/>
        <v>1.2699999999999999E-2</v>
      </c>
      <c r="I62" s="3061">
        <v>0.26</v>
      </c>
      <c r="J62" s="997">
        <f t="shared" si="14"/>
        <v>2.5399999999999999E-2</v>
      </c>
      <c r="K62" s="997">
        <f t="shared" si="15"/>
        <v>1.2699999999999999E-2</v>
      </c>
      <c r="L62" s="997">
        <v>0</v>
      </c>
      <c r="M62" s="997">
        <f t="shared" si="16"/>
        <v>-1.2699999999999999E-2</v>
      </c>
      <c r="N62" s="997">
        <f t="shared" si="16"/>
        <v>-2.5399999999999999E-2</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t="s">
        <v>3427</v>
      </c>
      <c r="D63" s="998">
        <f t="shared" si="12"/>
        <v>1.06E-2</v>
      </c>
      <c r="E63" s="699"/>
      <c r="F63" s="1671"/>
      <c r="G63" s="996">
        <v>5.3E-3</v>
      </c>
      <c r="H63" s="999">
        <f t="shared" si="13"/>
        <v>5.3E-3</v>
      </c>
      <c r="I63" s="3061">
        <v>0.11</v>
      </c>
      <c r="J63" s="997">
        <f t="shared" si="14"/>
        <v>1.06E-2</v>
      </c>
      <c r="K63" s="997">
        <f t="shared" si="15"/>
        <v>5.3E-3</v>
      </c>
      <c r="L63" s="997">
        <v>0</v>
      </c>
      <c r="M63" s="997">
        <f t="shared" si="16"/>
        <v>-5.3E-3</v>
      </c>
      <c r="N63" s="997">
        <f t="shared" si="16"/>
        <v>-1.06E-2</v>
      </c>
      <c r="AA63" s="1053"/>
      <c r="AB63" s="1053"/>
      <c r="AC63" s="1053"/>
      <c r="AD63" s="1053"/>
      <c r="AE63" s="1053"/>
      <c r="AF63" s="1053"/>
      <c r="AG63" s="1053"/>
      <c r="AH63" s="1053"/>
      <c r="AI63" s="1053"/>
      <c r="AJ63" s="1053"/>
      <c r="AK63" s="1053"/>
    </row>
    <row r="64" spans="1:37" s="1052" customFormat="1" ht="36.75">
      <c r="A64" s="1964" t="s">
        <v>2054</v>
      </c>
      <c r="B64" s="1968" t="s">
        <v>2055</v>
      </c>
      <c r="C64" s="1881" t="s">
        <v>3426</v>
      </c>
      <c r="D64" s="998">
        <f t="shared" si="12"/>
        <v>2.3999999999999998E-3</v>
      </c>
      <c r="E64" s="699"/>
      <c r="F64" s="1671"/>
      <c r="G64" s="996">
        <v>2.3999999999999998E-3</v>
      </c>
      <c r="H64" s="999">
        <f t="shared" si="13"/>
        <v>2.3999999999999998E-3</v>
      </c>
      <c r="I64" s="3061">
        <v>0.05</v>
      </c>
      <c r="J64" s="997">
        <f t="shared" si="14"/>
        <v>4.7999999999999996E-3</v>
      </c>
      <c r="K64" s="997">
        <f t="shared" si="15"/>
        <v>2.3999999999999998E-3</v>
      </c>
      <c r="L64" s="997">
        <v>0</v>
      </c>
      <c r="M64" s="997">
        <f t="shared" si="16"/>
        <v>-2.3999999999999998E-3</v>
      </c>
      <c r="N64" s="997">
        <f t="shared" si="16"/>
        <v>-4.7999999999999996E-3</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t="s">
        <v>3428</v>
      </c>
      <c r="D65" s="998">
        <f t="shared" si="12"/>
        <v>0</v>
      </c>
      <c r="E65" s="699"/>
      <c r="F65" s="1671"/>
      <c r="G65" s="996">
        <v>2.3999999999999998E-3</v>
      </c>
      <c r="H65" s="999">
        <f t="shared" si="13"/>
        <v>2.3999999999999998E-3</v>
      </c>
      <c r="I65" s="3061">
        <v>0.05</v>
      </c>
      <c r="J65" s="997">
        <f t="shared" si="14"/>
        <v>4.7999999999999996E-3</v>
      </c>
      <c r="K65" s="997">
        <f t="shared" si="15"/>
        <v>2.3999999999999998E-3</v>
      </c>
      <c r="L65" s="997">
        <v>0</v>
      </c>
      <c r="M65" s="997">
        <f t="shared" si="16"/>
        <v>-2.3999999999999998E-3</v>
      </c>
      <c r="N65" s="997">
        <f t="shared" si="16"/>
        <v>-4.7999999999999996E-3</v>
      </c>
      <c r="AA65" s="1053"/>
      <c r="AB65" s="1053"/>
      <c r="AC65" s="1053"/>
      <c r="AD65" s="1053"/>
      <c r="AE65" s="1053"/>
      <c r="AF65" s="1053"/>
      <c r="AG65" s="1053"/>
      <c r="AH65" s="1053"/>
      <c r="AI65" s="1053"/>
      <c r="AJ65" s="1053"/>
      <c r="AK65" s="1053"/>
    </row>
    <row r="66" spans="1:37" s="1052" customFormat="1" ht="24">
      <c r="A66" s="1964" t="s">
        <v>2057</v>
      </c>
      <c r="B66" s="1969" t="s">
        <v>2058</v>
      </c>
      <c r="C66" s="1881" t="s">
        <v>3426</v>
      </c>
      <c r="D66" s="998">
        <f t="shared" si="12"/>
        <v>2.8999999999999998E-3</v>
      </c>
      <c r="E66" s="699"/>
      <c r="F66" s="1671"/>
      <c r="G66" s="996">
        <v>2.8999999999999998E-3</v>
      </c>
      <c r="H66" s="999">
        <f t="shared" si="13"/>
        <v>2.8999999999999998E-3</v>
      </c>
      <c r="I66" s="3061">
        <v>0.06</v>
      </c>
      <c r="J66" s="997">
        <f t="shared" si="14"/>
        <v>5.7999999999999996E-3</v>
      </c>
      <c r="K66" s="997">
        <f t="shared" si="15"/>
        <v>2.8999999999999998E-3</v>
      </c>
      <c r="L66" s="997">
        <v>0</v>
      </c>
      <c r="M66" s="997">
        <f t="shared" si="16"/>
        <v>-2.8999999999999998E-3</v>
      </c>
      <c r="N66" s="997">
        <f t="shared" si="16"/>
        <v>-5.7999999999999996E-3</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t="s">
        <v>3427</v>
      </c>
      <c r="D67" s="998">
        <f t="shared" si="12"/>
        <v>5.7999999999999996E-3</v>
      </c>
      <c r="E67" s="699"/>
      <c r="F67" s="1671"/>
      <c r="G67" s="996">
        <v>2.8999999999999998E-3</v>
      </c>
      <c r="H67" s="999">
        <f t="shared" si="13"/>
        <v>2.8999999999999998E-3</v>
      </c>
      <c r="I67" s="3061">
        <v>0.06</v>
      </c>
      <c r="J67" s="997">
        <f t="shared" si="14"/>
        <v>5.7999999999999996E-3</v>
      </c>
      <c r="K67" s="997">
        <f t="shared" si="15"/>
        <v>2.8999999999999998E-3</v>
      </c>
      <c r="L67" s="997">
        <v>0</v>
      </c>
      <c r="M67" s="997">
        <f t="shared" si="16"/>
        <v>-2.8999999999999998E-3</v>
      </c>
      <c r="N67" s="997">
        <f t="shared" si="16"/>
        <v>-5.7999999999999996E-3</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t="s">
        <v>3427</v>
      </c>
      <c r="D68" s="998">
        <f t="shared" si="12"/>
        <v>8.8000000000000005E-3</v>
      </c>
      <c r="E68" s="699"/>
      <c r="F68" s="1671"/>
      <c r="G68" s="996">
        <v>4.4000000000000003E-3</v>
      </c>
      <c r="H68" s="999">
        <f t="shared" si="13"/>
        <v>4.4000000000000003E-3</v>
      </c>
      <c r="I68" s="3061">
        <v>0.09</v>
      </c>
      <c r="J68" s="997">
        <f t="shared" si="14"/>
        <v>8.8000000000000005E-3</v>
      </c>
      <c r="K68" s="997">
        <f t="shared" si="15"/>
        <v>4.4000000000000003E-3</v>
      </c>
      <c r="L68" s="997">
        <v>0</v>
      </c>
      <c r="M68" s="997">
        <f t="shared" si="16"/>
        <v>-4.4000000000000003E-3</v>
      </c>
      <c r="N68" s="997">
        <f t="shared" si="16"/>
        <v>-8.8000000000000005E-3</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t="s">
        <v>3426</v>
      </c>
      <c r="D69" s="998">
        <f t="shared" si="12"/>
        <v>3.3999999999999998E-3</v>
      </c>
      <c r="E69" s="700"/>
      <c r="F69" s="1671"/>
      <c r="G69" s="996">
        <v>3.3999999999999998E-3</v>
      </c>
      <c r="H69" s="999">
        <f t="shared" si="13"/>
        <v>3.3999999999999998E-3</v>
      </c>
      <c r="I69" s="3062">
        <v>7.0000000000000007E-2</v>
      </c>
      <c r="J69" s="997">
        <f t="shared" si="14"/>
        <v>6.7999999999999996E-3</v>
      </c>
      <c r="K69" s="997">
        <f t="shared" si="15"/>
        <v>3.3999999999999998E-3</v>
      </c>
      <c r="L69" s="997">
        <v>0</v>
      </c>
      <c r="M69" s="997">
        <f t="shared" si="16"/>
        <v>-3.3999999999999998E-3</v>
      </c>
      <c r="N69" s="997">
        <f t="shared" si="16"/>
        <v>-6.7999999999999996E-3</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7">SUMIF($J$71:$N$71,C72,J72:N72)</f>
        <v>0</v>
      </c>
      <c r="E72" s="698">
        <f>ROUND(SUM(D72:D80),4)</f>
        <v>0</v>
      </c>
      <c r="F72" s="1671" t="str">
        <f>IF(E2="住宅",SUMIF(L1:L12,G2,N1:N12),"——")</f>
        <v>——</v>
      </c>
      <c r="G72" s="996"/>
      <c r="H72" s="999" t="str">
        <f t="shared" ref="H72:H80" si="18">IFERROR(ROUNDDOWN($F$72*I72/2,4),"——")</f>
        <v>——</v>
      </c>
      <c r="I72" s="3061">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7"/>
        <v>0</v>
      </c>
      <c r="E73" s="701"/>
      <c r="F73" s="1671"/>
      <c r="G73" s="996"/>
      <c r="H73" s="999" t="str">
        <f t="shared" si="18"/>
        <v>——</v>
      </c>
      <c r="I73" s="3061">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7"/>
        <v>0</v>
      </c>
      <c r="E74" s="701"/>
      <c r="F74" s="1671"/>
      <c r="G74" s="996"/>
      <c r="H74" s="999" t="str">
        <f t="shared" si="18"/>
        <v>——</v>
      </c>
      <c r="I74" s="3061">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7"/>
        <v>0</v>
      </c>
      <c r="E75" s="701"/>
      <c r="F75" s="1671"/>
      <c r="G75" s="996"/>
      <c r="H75" s="999" t="str">
        <f t="shared" si="18"/>
        <v>——</v>
      </c>
      <c r="I75" s="3061">
        <v>0.05</v>
      </c>
      <c r="J75" s="997">
        <f t="shared" si="19"/>
        <v>0</v>
      </c>
      <c r="K75" s="997">
        <f t="shared" si="20"/>
        <v>0</v>
      </c>
      <c r="L75" s="997">
        <v>0</v>
      </c>
      <c r="M75" s="997">
        <f t="shared" si="21"/>
        <v>0</v>
      </c>
      <c r="N75" s="997">
        <f t="shared" si="21"/>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7"/>
        <v>0</v>
      </c>
      <c r="E76" s="701"/>
      <c r="F76" s="1671"/>
      <c r="G76" s="996"/>
      <c r="H76" s="999" t="str">
        <f t="shared" si="18"/>
        <v>——</v>
      </c>
      <c r="I76" s="3061">
        <v>0.08</v>
      </c>
      <c r="J76" s="997">
        <f t="shared" si="19"/>
        <v>0</v>
      </c>
      <c r="K76" s="997">
        <f t="shared" si="20"/>
        <v>0</v>
      </c>
      <c r="L76" s="997">
        <v>0</v>
      </c>
      <c r="M76" s="997">
        <f t="shared" si="21"/>
        <v>0</v>
      </c>
      <c r="N76" s="997">
        <f t="shared" si="21"/>
        <v>0</v>
      </c>
      <c r="O76" s="1052"/>
      <c r="P76" s="1052"/>
      <c r="Z76" s="1839"/>
      <c r="AA76" s="1889"/>
      <c r="AG76" s="1054"/>
      <c r="AK76" s="1889"/>
    </row>
    <row r="77" spans="1:37" ht="25.5">
      <c r="A77" s="1964" t="s">
        <v>2060</v>
      </c>
      <c r="B77" s="1236" t="str">
        <f>估价对象房地状况!C22</f>
        <v>估价对象所在区域基础设施水平</v>
      </c>
      <c r="C77" s="1881"/>
      <c r="D77" s="998">
        <f t="shared" si="17"/>
        <v>0</v>
      </c>
      <c r="E77" s="701"/>
      <c r="F77" s="1671"/>
      <c r="G77" s="996"/>
      <c r="H77" s="999" t="str">
        <f t="shared" si="18"/>
        <v>——</v>
      </c>
      <c r="I77" s="3061">
        <v>0.09</v>
      </c>
      <c r="J77" s="997">
        <f t="shared" si="19"/>
        <v>0</v>
      </c>
      <c r="K77" s="997">
        <f t="shared" si="20"/>
        <v>0</v>
      </c>
      <c r="L77" s="997">
        <v>0</v>
      </c>
      <c r="M77" s="997">
        <f t="shared" si="21"/>
        <v>0</v>
      </c>
      <c r="N77" s="997">
        <f t="shared" si="21"/>
        <v>0</v>
      </c>
      <c r="O77" s="1052"/>
      <c r="P77" s="1052"/>
      <c r="Z77" s="1839"/>
      <c r="AA77" s="1889"/>
      <c r="AG77" s="1054"/>
      <c r="AK77" s="1889"/>
    </row>
    <row r="78" spans="1:37" ht="24">
      <c r="A78" s="1964" t="s">
        <v>2057</v>
      </c>
      <c r="B78" s="1969" t="s">
        <v>2058</v>
      </c>
      <c r="C78" s="1881"/>
      <c r="D78" s="998">
        <f t="shared" si="17"/>
        <v>0</v>
      </c>
      <c r="E78" s="701"/>
      <c r="F78" s="1671"/>
      <c r="G78" s="996"/>
      <c r="H78" s="999" t="str">
        <f t="shared" si="18"/>
        <v>——</v>
      </c>
      <c r="I78" s="3061">
        <v>0.05</v>
      </c>
      <c r="J78" s="997">
        <f t="shared" si="19"/>
        <v>0</v>
      </c>
      <c r="K78" s="997">
        <f t="shared" si="20"/>
        <v>0</v>
      </c>
      <c r="L78" s="997">
        <v>0</v>
      </c>
      <c r="M78" s="997">
        <f t="shared" si="21"/>
        <v>0</v>
      </c>
      <c r="N78" s="997">
        <f t="shared" si="21"/>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7"/>
        <v>0</v>
      </c>
      <c r="E79" s="701"/>
      <c r="F79" s="1671"/>
      <c r="G79" s="996"/>
      <c r="H79" s="999" t="str">
        <f t="shared" si="18"/>
        <v>——</v>
      </c>
      <c r="I79" s="3061">
        <v>0.12</v>
      </c>
      <c r="J79" s="997">
        <f t="shared" si="19"/>
        <v>0</v>
      </c>
      <c r="K79" s="997">
        <f t="shared" si="20"/>
        <v>0</v>
      </c>
      <c r="L79" s="997">
        <v>0</v>
      </c>
      <c r="M79" s="997">
        <f t="shared" si="21"/>
        <v>0</v>
      </c>
      <c r="N79" s="997">
        <f t="shared" si="21"/>
        <v>0</v>
      </c>
      <c r="Z79" s="1839"/>
      <c r="AA79" s="1889"/>
      <c r="AG79" s="1054"/>
      <c r="AK79" s="1889"/>
    </row>
    <row r="80" spans="1:37" ht="24.75" thickBot="1">
      <c r="A80" s="1971" t="s">
        <v>2068</v>
      </c>
      <c r="B80" s="1975"/>
      <c r="C80" s="1881"/>
      <c r="D80" s="998">
        <f t="shared" si="17"/>
        <v>0</v>
      </c>
      <c r="E80" s="702"/>
      <c r="F80" s="1671"/>
      <c r="G80" s="996"/>
      <c r="H80" s="999" t="str">
        <f t="shared" si="18"/>
        <v>——</v>
      </c>
      <c r="I80" s="3062">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2">SUMIF($J$82:$N$82,C83,J83:N83)</f>
        <v>0</v>
      </c>
      <c r="E83" s="698">
        <f>ROUND(SUM(D83:D90),4)</f>
        <v>0</v>
      </c>
      <c r="F83" s="1671" t="str">
        <f>IF(E2="工业",SUMIF(L1:L12,G2,N1:N12),"——")</f>
        <v>——</v>
      </c>
      <c r="G83" s="996"/>
      <c r="H83" s="999" t="str">
        <f t="shared" ref="H83:H90" si="23">IFERROR(ROUNDDOWN($F$83*I83/2,4),"——")</f>
        <v>——</v>
      </c>
      <c r="I83" s="3061">
        <v>0.26</v>
      </c>
      <c r="J83" s="997">
        <f t="shared" ref="J83:J90" si="24">K83+$G83</f>
        <v>0</v>
      </c>
      <c r="K83" s="997">
        <f t="shared" ref="K83:K90" si="25">$L83+$G83</f>
        <v>0</v>
      </c>
      <c r="L83" s="997">
        <v>0</v>
      </c>
      <c r="M83" s="997">
        <f t="shared" ref="M83:N90" si="26">L83-$G83</f>
        <v>0</v>
      </c>
      <c r="N83" s="997">
        <f t="shared" si="26"/>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2"/>
        <v>0</v>
      </c>
      <c r="E84" s="701"/>
      <c r="F84" s="1671"/>
      <c r="G84" s="996"/>
      <c r="H84" s="999" t="str">
        <f t="shared" si="23"/>
        <v>——</v>
      </c>
      <c r="I84" s="3061">
        <v>0.3</v>
      </c>
      <c r="J84" s="997">
        <f t="shared" si="24"/>
        <v>0</v>
      </c>
      <c r="K84" s="997">
        <f t="shared" si="25"/>
        <v>0</v>
      </c>
      <c r="L84" s="997">
        <v>0</v>
      </c>
      <c r="M84" s="997">
        <f t="shared" si="26"/>
        <v>0</v>
      </c>
      <c r="N84" s="997">
        <f t="shared" si="26"/>
        <v>0</v>
      </c>
      <c r="Z84" s="1839"/>
      <c r="AA84" s="1889"/>
      <c r="AG84" s="1054"/>
      <c r="AK84" s="1889"/>
    </row>
    <row r="85" spans="1:37" ht="36">
      <c r="A85" s="3063" t="s">
        <v>3264</v>
      </c>
      <c r="B85" s="1258">
        <f>估价对象房地状况!G17</f>
        <v>0</v>
      </c>
      <c r="C85" s="1881"/>
      <c r="D85" s="998">
        <f t="shared" si="22"/>
        <v>0</v>
      </c>
      <c r="E85" s="701"/>
      <c r="F85" s="1671"/>
      <c r="G85" s="996"/>
      <c r="H85" s="999" t="str">
        <f t="shared" si="23"/>
        <v>——</v>
      </c>
      <c r="I85" s="3061">
        <v>0.1</v>
      </c>
      <c r="J85" s="997">
        <f t="shared" si="24"/>
        <v>0</v>
      </c>
      <c r="K85" s="997">
        <f t="shared" si="25"/>
        <v>0</v>
      </c>
      <c r="L85" s="997">
        <v>0</v>
      </c>
      <c r="M85" s="997">
        <f t="shared" si="26"/>
        <v>0</v>
      </c>
      <c r="N85" s="997">
        <f t="shared" si="26"/>
        <v>0</v>
      </c>
      <c r="Z85" s="1839"/>
      <c r="AA85" s="1889"/>
      <c r="AG85" s="1054"/>
      <c r="AK85" s="1889"/>
    </row>
    <row r="86" spans="1:37" ht="14.25">
      <c r="A86" s="1964" t="s">
        <v>2067</v>
      </c>
      <c r="B86" s="1258">
        <f>估价对象房地状况!G22</f>
        <v>0</v>
      </c>
      <c r="C86" s="1881"/>
      <c r="D86" s="998">
        <f t="shared" si="22"/>
        <v>0</v>
      </c>
      <c r="E86" s="701"/>
      <c r="F86" s="1671"/>
      <c r="G86" s="996"/>
      <c r="H86" s="999" t="str">
        <f t="shared" si="23"/>
        <v>——</v>
      </c>
      <c r="I86" s="3061">
        <v>0.05</v>
      </c>
      <c r="J86" s="997">
        <f t="shared" si="24"/>
        <v>0</v>
      </c>
      <c r="K86" s="997">
        <f t="shared" si="25"/>
        <v>0</v>
      </c>
      <c r="L86" s="997">
        <v>0</v>
      </c>
      <c r="M86" s="997">
        <f t="shared" si="26"/>
        <v>0</v>
      </c>
      <c r="N86" s="997">
        <f t="shared" si="26"/>
        <v>0</v>
      </c>
      <c r="Z86" s="1839"/>
      <c r="AA86" s="1889"/>
      <c r="AG86" s="1054"/>
      <c r="AK86" s="1889"/>
    </row>
    <row r="87" spans="1:37" ht="25.5">
      <c r="A87" s="1964" t="s">
        <v>2059</v>
      </c>
      <c r="B87" s="1236" t="str">
        <f>估价对象房地状况!G19</f>
        <v>估价对象所在区域公共配套设施齐备情况</v>
      </c>
      <c r="C87" s="1881"/>
      <c r="D87" s="998">
        <f t="shared" si="22"/>
        <v>0</v>
      </c>
      <c r="E87" s="701"/>
      <c r="F87" s="1671"/>
      <c r="G87" s="996"/>
      <c r="H87" s="999" t="str">
        <f t="shared" si="23"/>
        <v>——</v>
      </c>
      <c r="I87" s="3061">
        <v>0.06</v>
      </c>
      <c r="J87" s="997">
        <f t="shared" si="24"/>
        <v>0</v>
      </c>
      <c r="K87" s="997">
        <f t="shared" si="25"/>
        <v>0</v>
      </c>
      <c r="L87" s="997">
        <v>0</v>
      </c>
      <c r="M87" s="997">
        <f t="shared" si="26"/>
        <v>0</v>
      </c>
      <c r="N87" s="997">
        <f t="shared" si="26"/>
        <v>0</v>
      </c>
    </row>
    <row r="88" spans="1:37" ht="25.5">
      <c r="A88" s="1964" t="s">
        <v>2060</v>
      </c>
      <c r="B88" s="1236" t="str">
        <f>估价对象房地状况!G20</f>
        <v>估价对象所在区域基础设施水平</v>
      </c>
      <c r="C88" s="1881"/>
      <c r="D88" s="998">
        <f t="shared" si="22"/>
        <v>0</v>
      </c>
      <c r="E88" s="701"/>
      <c r="F88" s="1671"/>
      <c r="G88" s="996"/>
      <c r="H88" s="999" t="str">
        <f t="shared" si="23"/>
        <v>——</v>
      </c>
      <c r="I88" s="3061">
        <v>0.12</v>
      </c>
      <c r="J88" s="997">
        <f t="shared" si="24"/>
        <v>0</v>
      </c>
      <c r="K88" s="997">
        <f t="shared" si="25"/>
        <v>0</v>
      </c>
      <c r="L88" s="997">
        <v>0</v>
      </c>
      <c r="M88" s="997">
        <f t="shared" si="26"/>
        <v>0</v>
      </c>
      <c r="N88" s="997">
        <f t="shared" si="26"/>
        <v>0</v>
      </c>
    </row>
    <row r="89" spans="1:37" ht="24">
      <c r="A89" s="1964" t="s">
        <v>2057</v>
      </c>
      <c r="B89" s="1969" t="s">
        <v>2071</v>
      </c>
      <c r="C89" s="1881"/>
      <c r="D89" s="998">
        <f t="shared" si="22"/>
        <v>0</v>
      </c>
      <c r="E89" s="701"/>
      <c r="F89" s="1671"/>
      <c r="G89" s="996"/>
      <c r="H89" s="999" t="str">
        <f t="shared" si="23"/>
        <v>——</v>
      </c>
      <c r="I89" s="3061">
        <v>0.06</v>
      </c>
      <c r="J89" s="997">
        <f t="shared" si="24"/>
        <v>0</v>
      </c>
      <c r="K89" s="997">
        <f t="shared" si="25"/>
        <v>0</v>
      </c>
      <c r="L89" s="997">
        <v>0</v>
      </c>
      <c r="M89" s="997">
        <f t="shared" si="26"/>
        <v>0</v>
      </c>
      <c r="N89" s="997">
        <f t="shared" si="26"/>
        <v>0</v>
      </c>
    </row>
    <row r="90" spans="1:37" ht="39" thickBot="1">
      <c r="A90" s="1971" t="s">
        <v>2072</v>
      </c>
      <c r="B90" s="1976" t="str">
        <f>估价对象房地状况!G18</f>
        <v>该园区内是否有污染型企业，绿化情况，卫生条件，整体环境状况判断</v>
      </c>
      <c r="C90" s="1881"/>
      <c r="D90" s="998">
        <f t="shared" si="22"/>
        <v>0</v>
      </c>
      <c r="E90" s="702"/>
      <c r="F90" s="1671"/>
      <c r="G90" s="996"/>
      <c r="H90" s="999" t="str">
        <f t="shared" si="23"/>
        <v>——</v>
      </c>
      <c r="I90" s="3062">
        <v>0.05</v>
      </c>
      <c r="J90" s="997">
        <f t="shared" si="24"/>
        <v>0</v>
      </c>
      <c r="K90" s="997">
        <f t="shared" si="25"/>
        <v>0</v>
      </c>
      <c r="L90" s="997">
        <v>0</v>
      </c>
      <c r="M90" s="997">
        <f t="shared" si="26"/>
        <v>0</v>
      </c>
      <c r="N90" s="997">
        <f t="shared" si="26"/>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2044</v>
      </c>
      <c r="B92" s="2302"/>
      <c r="C92" s="2302" t="s">
        <v>2046</v>
      </c>
      <c r="D92" s="2302" t="s">
        <v>2047</v>
      </c>
      <c r="E92" s="3045" t="s">
        <v>2048</v>
      </c>
      <c r="F92" s="3075" t="s">
        <v>3278</v>
      </c>
      <c r="G92" s="2302" t="s">
        <v>1989</v>
      </c>
      <c r="H92" s="3082" t="s">
        <v>3282</v>
      </c>
      <c r="I92" s="2302" t="s">
        <v>2051</v>
      </c>
      <c r="J92" s="2144" t="s">
        <v>1721</v>
      </c>
      <c r="K92" s="2144" t="s">
        <v>1722</v>
      </c>
      <c r="L92" s="2144" t="s">
        <v>1723</v>
      </c>
      <c r="M92" s="2144" t="s">
        <v>1724</v>
      </c>
      <c r="N92" s="2144" t="s">
        <v>1725</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38.25">
      <c r="A94" s="3073" t="s">
        <v>2053</v>
      </c>
      <c r="B94" s="3064" t="str">
        <f>估价对象房地状况!C18</f>
        <v>估价对象周边有196路、B38路、Y25路等多条公交线路，综合评价交通便捷度一般</v>
      </c>
      <c r="C94" s="1881"/>
      <c r="D94" s="2302">
        <f t="shared" ref="D94:D101" si="30">SUMIF($J$60:$N$60,C94,J94:N94)</f>
        <v>0</v>
      </c>
      <c r="E94" s="3077"/>
      <c r="F94" s="1671"/>
      <c r="G94" s="3067"/>
      <c r="H94" s="3111" t="str">
        <f>IFERROR(ROUNDDOWN($F$93*I94/2,4),"——")</f>
        <v>——</v>
      </c>
      <c r="I94" s="3061">
        <v>0.26</v>
      </c>
      <c r="J94" s="1906">
        <f t="shared" si="27"/>
        <v>0</v>
      </c>
      <c r="K94" s="1906">
        <f t="shared" si="28"/>
        <v>0</v>
      </c>
      <c r="L94" s="1906">
        <v>0</v>
      </c>
      <c r="M94" s="1906">
        <f t="shared" si="29"/>
        <v>0</v>
      </c>
      <c r="N94" s="1906">
        <f t="shared" si="29"/>
        <v>0</v>
      </c>
    </row>
    <row r="95" spans="1:37" ht="36">
      <c r="A95" s="3063" t="s">
        <v>3264</v>
      </c>
      <c r="B95" s="3064">
        <f>估价对象房地状况!C19</f>
        <v>0</v>
      </c>
      <c r="C95" s="1881"/>
      <c r="D95" s="2302">
        <f t="shared" si="30"/>
        <v>0</v>
      </c>
      <c r="E95" s="3077"/>
      <c r="F95" s="1671"/>
      <c r="G95" s="3067"/>
      <c r="H95" s="3111" t="str">
        <f t="shared" ref="H95:H101" si="31">IFERROR(ROUNDDOWN($F$93*I95/2,4),"——")</f>
        <v>——</v>
      </c>
      <c r="I95" s="3061">
        <v>0.11</v>
      </c>
      <c r="J95" s="1906">
        <f t="shared" si="27"/>
        <v>0</v>
      </c>
      <c r="K95" s="1906">
        <f t="shared" si="28"/>
        <v>0</v>
      </c>
      <c r="L95" s="1906">
        <v>0</v>
      </c>
      <c r="M95" s="1906">
        <f t="shared" si="29"/>
        <v>0</v>
      </c>
      <c r="N95" s="1906">
        <f t="shared" si="29"/>
        <v>0</v>
      </c>
    </row>
    <row r="96" spans="1:37" ht="36.75">
      <c r="A96" s="3073" t="s">
        <v>2054</v>
      </c>
      <c r="B96" s="3079" t="s">
        <v>3280</v>
      </c>
      <c r="C96" s="1881"/>
      <c r="D96" s="2302">
        <f t="shared" si="30"/>
        <v>0</v>
      </c>
      <c r="E96" s="3077"/>
      <c r="F96" s="1671"/>
      <c r="G96" s="3067"/>
      <c r="H96" s="3111" t="str">
        <f t="shared" si="31"/>
        <v>——</v>
      </c>
      <c r="I96" s="3061">
        <v>0.05</v>
      </c>
      <c r="J96" s="1906">
        <f t="shared" si="27"/>
        <v>0</v>
      </c>
      <c r="K96" s="1906">
        <f t="shared" si="28"/>
        <v>0</v>
      </c>
      <c r="L96" s="1906">
        <v>0</v>
      </c>
      <c r="M96" s="1906">
        <f t="shared" si="29"/>
        <v>0</v>
      </c>
      <c r="N96" s="1906">
        <f t="shared" si="29"/>
        <v>0</v>
      </c>
    </row>
    <row r="97" spans="1:14" ht="24">
      <c r="A97" s="3073" t="s">
        <v>2056</v>
      </c>
      <c r="B97" s="3064">
        <f>估价对象房地状况!C24</f>
        <v>0</v>
      </c>
      <c r="C97" s="1881"/>
      <c r="D97" s="2302">
        <f t="shared" si="30"/>
        <v>0</v>
      </c>
      <c r="E97" s="3077"/>
      <c r="F97" s="1671"/>
      <c r="G97" s="3067"/>
      <c r="H97" s="3111" t="str">
        <f t="shared" si="31"/>
        <v>——</v>
      </c>
      <c r="I97" s="3061">
        <v>0.05</v>
      </c>
      <c r="J97" s="1906">
        <f t="shared" si="27"/>
        <v>0</v>
      </c>
      <c r="K97" s="1906">
        <f t="shared" si="28"/>
        <v>0</v>
      </c>
      <c r="L97" s="1906">
        <v>0</v>
      </c>
      <c r="M97" s="1906">
        <f t="shared" si="29"/>
        <v>0</v>
      </c>
      <c r="N97" s="1906">
        <f t="shared" si="29"/>
        <v>0</v>
      </c>
    </row>
    <row r="98" spans="1:14" ht="24">
      <c r="A98" s="3073" t="s">
        <v>2057</v>
      </c>
      <c r="B98" s="3080" t="s">
        <v>3281</v>
      </c>
      <c r="C98" s="1881"/>
      <c r="D98" s="2302">
        <f t="shared" si="30"/>
        <v>0</v>
      </c>
      <c r="E98" s="3077"/>
      <c r="F98" s="1671"/>
      <c r="G98" s="3067"/>
      <c r="H98" s="3111" t="str">
        <f t="shared" si="31"/>
        <v>——</v>
      </c>
      <c r="I98" s="3061">
        <v>0.06</v>
      </c>
      <c r="J98" s="1906">
        <f t="shared" si="27"/>
        <v>0</v>
      </c>
      <c r="K98" s="1906">
        <f t="shared" si="28"/>
        <v>0</v>
      </c>
      <c r="L98" s="1906">
        <v>0</v>
      </c>
      <c r="M98" s="1906">
        <f t="shared" si="29"/>
        <v>0</v>
      </c>
      <c r="N98" s="1906">
        <f t="shared" si="29"/>
        <v>0</v>
      </c>
    </row>
    <row r="99" spans="1:14" ht="178.5">
      <c r="A99" s="3073" t="s">
        <v>2059</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0"/>
        <v>0</v>
      </c>
      <c r="E99" s="3077"/>
      <c r="F99" s="1671"/>
      <c r="G99" s="3067"/>
      <c r="H99" s="3111" t="str">
        <f t="shared" si="31"/>
        <v>——</v>
      </c>
      <c r="I99" s="3061">
        <v>0.06</v>
      </c>
      <c r="J99" s="1906">
        <f t="shared" si="27"/>
        <v>0</v>
      </c>
      <c r="K99" s="1906">
        <f t="shared" si="28"/>
        <v>0</v>
      </c>
      <c r="L99" s="1906">
        <v>0</v>
      </c>
      <c r="M99" s="1906">
        <f t="shared" si="29"/>
        <v>0</v>
      </c>
      <c r="N99" s="1906">
        <f t="shared" si="29"/>
        <v>0</v>
      </c>
    </row>
    <row r="100" spans="1:14" ht="25.5">
      <c r="A100" s="3073" t="s">
        <v>2060</v>
      </c>
      <c r="B100" s="3064" t="str">
        <f>估价对象房地状况!C22</f>
        <v>估价对象所在区域基础设施水平</v>
      </c>
      <c r="C100" s="1881"/>
      <c r="D100" s="2302">
        <f t="shared" si="30"/>
        <v>0</v>
      </c>
      <c r="E100" s="3077"/>
      <c r="F100" s="1671"/>
      <c r="G100" s="3067"/>
      <c r="H100" s="3111" t="str">
        <f t="shared" si="31"/>
        <v>——</v>
      </c>
      <c r="I100" s="3061">
        <v>0.09</v>
      </c>
      <c r="J100" s="1906">
        <f t="shared" si="27"/>
        <v>0</v>
      </c>
      <c r="K100" s="1906">
        <f t="shared" si="28"/>
        <v>0</v>
      </c>
      <c r="L100" s="1906">
        <v>0</v>
      </c>
      <c r="M100" s="1906">
        <f t="shared" si="29"/>
        <v>0</v>
      </c>
      <c r="N100" s="1906">
        <f t="shared" si="29"/>
        <v>0</v>
      </c>
    </row>
    <row r="101" spans="1:14" ht="51.75" thickBot="1">
      <c r="A101" s="3074" t="s">
        <v>2061</v>
      </c>
      <c r="B101" s="3081" t="str">
        <f>估价对象房地状况!C20</f>
        <v>估价对象周边有河南省体育场馆中心、郑州海洋馆等人文景观，东风渠水系等自然景观，综合评价环境状况较好。</v>
      </c>
      <c r="C101" s="1881"/>
      <c r="D101" s="2302">
        <f t="shared" si="30"/>
        <v>0</v>
      </c>
      <c r="E101" s="3078"/>
      <c r="F101" s="1671"/>
      <c r="G101" s="3067"/>
      <c r="H101" s="3111" t="str">
        <f t="shared" si="31"/>
        <v>——</v>
      </c>
      <c r="I101" s="3062">
        <v>7.0000000000000007E-2</v>
      </c>
      <c r="J101" s="1906">
        <f t="shared" si="27"/>
        <v>0</v>
      </c>
      <c r="K101" s="1906">
        <f t="shared" si="28"/>
        <v>0</v>
      </c>
      <c r="L101" s="1906">
        <v>0</v>
      </c>
      <c r="M101" s="1906">
        <f t="shared" si="29"/>
        <v>0</v>
      </c>
      <c r="N101" s="1906">
        <f t="shared" si="29"/>
        <v>0</v>
      </c>
    </row>
    <row r="103" spans="1:14">
      <c r="A103" s="3487" t="s">
        <v>3289</v>
      </c>
      <c r="B103" s="3487"/>
      <c r="C103" s="3487"/>
      <c r="D103" s="3487"/>
      <c r="E103" s="3487"/>
      <c r="F103" s="3487"/>
      <c r="G103" s="3487"/>
      <c r="H103" s="3487"/>
      <c r="I103" s="3487"/>
      <c r="J103" s="3487"/>
      <c r="K103" s="1663"/>
      <c r="L103" s="1663"/>
      <c r="M103" s="1663"/>
      <c r="N103" s="1663"/>
    </row>
    <row r="104" spans="1:14">
      <c r="A104" s="3488" t="s">
        <v>3290</v>
      </c>
      <c r="B104" s="3488" t="s">
        <v>3291</v>
      </c>
      <c r="C104" s="3083" t="s">
        <v>3292</v>
      </c>
      <c r="D104" s="3084"/>
      <c r="E104" s="3084"/>
      <c r="F104" s="3084"/>
      <c r="G104" s="3084"/>
      <c r="H104" s="3084"/>
      <c r="I104" s="3084"/>
      <c r="J104" s="3085"/>
      <c r="K104" s="3086"/>
      <c r="L104" s="3086"/>
      <c r="M104" s="3086"/>
      <c r="N104" s="3086"/>
    </row>
    <row r="105" spans="1:14">
      <c r="A105" s="3488"/>
      <c r="B105" s="3488"/>
      <c r="C105" s="3087" t="s">
        <v>1961</v>
      </c>
      <c r="D105" s="3087" t="s">
        <v>1962</v>
      </c>
      <c r="E105" s="3087" t="s">
        <v>1963</v>
      </c>
      <c r="F105" s="3087" t="s">
        <v>1964</v>
      </c>
      <c r="G105" s="3087" t="s">
        <v>1965</v>
      </c>
      <c r="H105" s="3087" t="s">
        <v>1966</v>
      </c>
      <c r="I105" s="3087" t="s">
        <v>1967</v>
      </c>
      <c r="J105" s="3087" t="s">
        <v>1968</v>
      </c>
      <c r="K105" s="3087" t="s">
        <v>1969</v>
      </c>
      <c r="L105" s="3087" t="s">
        <v>1970</v>
      </c>
      <c r="M105" s="3087" t="s">
        <v>1971</v>
      </c>
      <c r="N105" s="3087" t="s">
        <v>1972</v>
      </c>
    </row>
    <row r="106" spans="1:14">
      <c r="A106" s="3489"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90"/>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90"/>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90"/>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90"/>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90"/>
      <c r="B111" s="3087" t="s">
        <v>3263</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91"/>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92" t="s">
        <v>3306</v>
      </c>
      <c r="B113" s="3492"/>
      <c r="C113" s="3492"/>
      <c r="D113" s="3492"/>
      <c r="E113" s="3492"/>
      <c r="F113" s="3492"/>
      <c r="G113" s="3492"/>
      <c r="H113" s="3492"/>
      <c r="I113" s="3492"/>
      <c r="J113" s="3492"/>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0.9415</v>
      </c>
      <c r="E116" s="162" t="s">
        <v>1936</v>
      </c>
      <c r="F116" s="3094" t="str">
        <f>E2</f>
        <v>办公</v>
      </c>
      <c r="G116" s="162" t="s">
        <v>1937</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1990</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1991</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1992</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1993</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7CE87D-1957-4D6F-B43E-E6A9C4DADBCE}">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ROUND($C$5*$C$22*$C$23*$C$24*S2*$C$28,0)</f>
        <v>#DIV/0!</v>
      </c>
      <c r="U2" s="1126">
        <v>2364.37</v>
      </c>
      <c r="V2" s="3056" t="e">
        <f>ROUND(T2*U2,0)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2435</v>
      </c>
      <c r="F3" s="1842" t="s">
        <v>3423</v>
      </c>
      <c r="G3" s="704">
        <f>IF(F3="宗地容积率",'数据-汇总表'!I4,IF(F3="估价对象容积率",'数据-汇总表'!I6,'数据-汇总表'!I7))</f>
        <v>0</v>
      </c>
      <c r="H3" s="162" t="s">
        <v>1943</v>
      </c>
      <c r="I3" s="725">
        <v>1</v>
      </c>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ref="T3:T16" si="0">ROUND($C$5*$C$22*$C$23*$C$24*S3*$C$28,0)</f>
        <v>#DIV/0!</v>
      </c>
      <c r="U3" s="1126">
        <v>2482.7799999999997</v>
      </c>
      <c r="V3" s="3056" t="e">
        <f t="shared" ref="V3:V5" si="1">ROUND(T3*U3,0)</f>
        <v>#DIV/0!</v>
      </c>
      <c r="W3" s="1129"/>
      <c r="X3" s="1129"/>
      <c r="Y3" s="1129"/>
      <c r="Z3" s="1129"/>
      <c r="AA3" s="1129"/>
      <c r="AB3" s="1129"/>
      <c r="AC3" s="1130"/>
      <c r="AD3" s="1131"/>
      <c r="AE3" s="1131"/>
      <c r="AF3" s="1131"/>
      <c r="AG3" s="1131"/>
      <c r="AH3" s="1131"/>
      <c r="AI3" s="1131"/>
      <c r="AJ3" s="1132"/>
    </row>
    <row r="4" spans="1:36" ht="15.75">
      <c r="A4" s="3476"/>
      <c r="B4" s="3477"/>
      <c r="C4" s="3477"/>
      <c r="D4" s="3478"/>
      <c r="E4" s="3478"/>
      <c r="F4" s="3478"/>
      <c r="G4" s="3478"/>
      <c r="H4" s="3478"/>
      <c r="I4" s="3478"/>
      <c r="J4" s="3479"/>
      <c r="K4" s="1052"/>
      <c r="L4" s="1841" t="s">
        <v>1946</v>
      </c>
      <c r="M4" s="807">
        <f>SUMPRODUCT((区片价!B55:B86=I2)*(区片价!C3:G3=E2)*(区片价!C55:G86))</f>
        <v>16610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v>3138.87</v>
      </c>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16610</v>
      </c>
      <c r="D5" s="1248">
        <f>ROUND(C6*C17+C20,0)</f>
        <v>16610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v>3138.3099999999995</v>
      </c>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16610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ref="V6:V16" si="2">ROUND(T6*U6/10000,0)</f>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f>IF(C8="不临65条商业街",1,ROUND(1+(1.6*E8+1.2*E9+0.8*E10+0.4*E11)*C9,4))</f>
        <v>1</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2"/>
        <v>#DIV/0!</v>
      </c>
      <c r="W7" s="1263" t="s">
        <v>1955</v>
      </c>
      <c r="X7" s="1127" t="str">
        <f>G2</f>
        <v>四级</v>
      </c>
      <c r="Y7" s="1127" t="s">
        <v>1956</v>
      </c>
      <c r="Z7" s="1128">
        <f>G3</f>
        <v>0</v>
      </c>
      <c r="AA7" s="1129"/>
      <c r="AB7" s="1129"/>
      <c r="AC7" s="1130"/>
      <c r="AD7" s="1131"/>
      <c r="AE7" s="1131"/>
      <c r="AF7" s="1131"/>
      <c r="AG7" s="1131"/>
      <c r="AH7" s="1131"/>
      <c r="AI7" s="1131"/>
      <c r="AJ7" s="1132"/>
    </row>
    <row r="8" spans="1:36" ht="25.5">
      <c r="A8" s="3002"/>
      <c r="B8" s="162" t="s">
        <v>1957</v>
      </c>
      <c r="C8" s="1864" t="s">
        <v>3430</v>
      </c>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2"/>
        <v>#DIV/0!</v>
      </c>
      <c r="W8" s="3480" t="s">
        <v>1960</v>
      </c>
      <c r="X8" s="3481"/>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2"/>
        <v>#DIV/0!</v>
      </c>
      <c r="W9" s="3482"/>
      <c r="X9" s="3057" t="s">
        <v>3263</v>
      </c>
      <c r="Y9" s="3058">
        <v>6</v>
      </c>
      <c r="Z9" s="3059">
        <f>$Y$9</f>
        <v>6</v>
      </c>
      <c r="AA9" s="3059">
        <f t="shared" ref="AA9:AJ9" si="3">$Y$9</f>
        <v>6</v>
      </c>
      <c r="AB9" s="3059">
        <f t="shared" si="3"/>
        <v>6</v>
      </c>
      <c r="AC9" s="3059">
        <f t="shared" si="3"/>
        <v>6</v>
      </c>
      <c r="AD9" s="3059">
        <f t="shared" si="3"/>
        <v>6</v>
      </c>
      <c r="AE9" s="3059">
        <f t="shared" si="3"/>
        <v>6</v>
      </c>
      <c r="AF9" s="3059">
        <f t="shared" si="3"/>
        <v>6</v>
      </c>
      <c r="AG9" s="3059">
        <f t="shared" si="3"/>
        <v>6</v>
      </c>
      <c r="AH9" s="3059">
        <f t="shared" si="3"/>
        <v>6</v>
      </c>
      <c r="AI9" s="3059">
        <f t="shared" si="3"/>
        <v>6</v>
      </c>
      <c r="AJ9" s="3059">
        <f t="shared" si="3"/>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2"/>
        <v>#DIV/0!</v>
      </c>
      <c r="W10" s="348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2"/>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c r="D12" s="3008" t="s">
        <v>3236</v>
      </c>
      <c r="E12" s="3009" t="s">
        <v>3237</v>
      </c>
      <c r="F12" s="3010"/>
      <c r="G12" s="3011"/>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2"/>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2"/>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2"/>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2"/>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2"/>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0.88249999999999995</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3" t="s">
        <v>3250</v>
      </c>
      <c r="B20" s="159" t="s">
        <v>1994</v>
      </c>
      <c r="C20" s="3024">
        <f>ROUND(IF(F21="与级别开发程度一致",0,(G21-E21)/C21),0)</f>
        <v>0</v>
      </c>
      <c r="D20" s="3039" t="s">
        <v>1998</v>
      </c>
      <c r="E20" s="3040"/>
      <c r="F20" s="3485" t="s">
        <v>1995</v>
      </c>
      <c r="G20" s="3486"/>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4"/>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40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3429</v>
      </c>
      <c r="C25" s="461">
        <f>IF(B25="容积率修正",IF(G3&lt;10,D26,J26),C27)</f>
        <v>1.5019</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1.5019</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1.0568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t="e">
        <f>#REF!</f>
        <v>#REF!</v>
      </c>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4"/>
      <c r="B37" s="1949" t="s">
        <v>2036</v>
      </c>
      <c r="C37" s="167" t="e">
        <f>ROUND(D5*C22*C23*C24*C28*F37,0)</f>
        <v>#DIV/0!</v>
      </c>
      <c r="D37" s="1934" t="e">
        <f>#REF!</f>
        <v>#REF!</v>
      </c>
      <c r="E37" s="163" t="e">
        <f>ROUND(C37*D37,0)</f>
        <v>#DIV/0!</v>
      </c>
      <c r="F37" s="163">
        <f>SUMIF(修正!A59:A70,G2,修正!B59:B70)</f>
        <v>0.6</v>
      </c>
      <c r="G37" s="163" t="e">
        <f>ROUND(IF(E2="工业",C37*$M$42,C37*$M$41),0)</f>
        <v>#DIV/0!</v>
      </c>
      <c r="H37" s="163" t="e">
        <f>D37</f>
        <v>#REF!</v>
      </c>
      <c r="I37" s="163" t="e">
        <f>ROUND(G37*H37,0)</f>
        <v>#DIV/0!</v>
      </c>
      <c r="J37" s="2747"/>
      <c r="K37" s="3054" t="s">
        <v>3261</v>
      </c>
      <c r="L37" s="1958">
        <f ca="1">L36+K38</f>
        <v>3.4999999999999996E-2</v>
      </c>
      <c r="M37" s="2358">
        <f ca="1">ROUND($L$37*(1+M31),3)</f>
        <v>4.3999999999999997E-2</v>
      </c>
      <c r="N37" s="2358">
        <f t="shared" ref="N37:Q37" ca="1" si="4">ROUND($L$37*(1+N31),3)</f>
        <v>4.2000000000000003E-2</v>
      </c>
      <c r="O37" s="2358">
        <f t="shared" ca="1" si="4"/>
        <v>0.04</v>
      </c>
      <c r="P37" s="2358">
        <f t="shared" ca="1" si="4"/>
        <v>3.9E-2</v>
      </c>
      <c r="Q37" s="2358">
        <f t="shared" ca="1" si="4"/>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75"/>
      <c r="B38" s="1878" t="s">
        <v>2037</v>
      </c>
      <c r="C38" s="167" t="e">
        <f>ROUND(D5*C22*C23*C24*C28*F38,0)</f>
        <v>#DIV/0!</v>
      </c>
      <c r="D38" s="1934"/>
      <c r="E38" s="163" t="e">
        <f t="shared" ref="E38:E42" si="5">ROUND(C38*D38/10000,0)</f>
        <v>#DIV/0!</v>
      </c>
      <c r="F38" s="163">
        <f>SUMIF(修正!A59:A70,G2,修正!C59:C70)</f>
        <v>0.3</v>
      </c>
      <c r="G38" s="163" t="e">
        <f>ROUND(IF(E2="工业",C38*$M$42,C38*$M$41),0)</f>
        <v>#DIV/0!</v>
      </c>
      <c r="H38" s="163">
        <f t="shared" ref="H38:H42" si="6">D38</f>
        <v>0</v>
      </c>
      <c r="I38" s="163" t="e">
        <f t="shared" ref="I38:I42" si="7">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75"/>
      <c r="B39" s="1878" t="s">
        <v>3254</v>
      </c>
      <c r="C39" s="167" t="e">
        <f>ROUND(D5*C22*C23*C24*C28*F39,0)</f>
        <v>#DIV/0!</v>
      </c>
      <c r="D39" s="1934"/>
      <c r="E39" s="163" t="e">
        <f t="shared" si="5"/>
        <v>#DIV/0!</v>
      </c>
      <c r="F39" s="163">
        <f>SUMIF(修正!A59:A70,G2,修正!D59:D70)</f>
        <v>0.25</v>
      </c>
      <c r="G39" s="163" t="e">
        <f>ROUND(IF(E2="工业",C39*$M$42,C39*$M$41),0)</f>
        <v>#DIV/0!</v>
      </c>
      <c r="H39" s="163">
        <f t="shared" si="6"/>
        <v>0</v>
      </c>
      <c r="I39" s="163" t="e">
        <f t="shared" si="7"/>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c r="E40" s="163" t="e">
        <f t="shared" si="5"/>
        <v>#DIV/0!</v>
      </c>
      <c r="F40" s="167">
        <f>SUMIF(修正!A59:A70,G2,修正!E59:E70)</f>
        <v>0.25</v>
      </c>
      <c r="G40" s="163" t="e">
        <f>ROUND(IF(E2="工业",C40*$M$42,C40*$M$41),0)</f>
        <v>#DIV/0!</v>
      </c>
      <c r="H40" s="163">
        <f t="shared" si="6"/>
        <v>0</v>
      </c>
      <c r="I40" s="163" t="e">
        <f t="shared" si="7"/>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f>ROUND(D5*C22*C23*C44*C28*F41,0)</f>
        <v>0</v>
      </c>
      <c r="D41" s="1934"/>
      <c r="E41" s="163">
        <f t="shared" si="5"/>
        <v>0</v>
      </c>
      <c r="F41" s="167">
        <f>SUMIF(修正!A59:A70,G2,修正!F59:F70)</f>
        <v>0.25</v>
      </c>
      <c r="G41" s="163">
        <f>ROUND(IF(E2="工业",C41*$M$42,C41*$M$41),0)</f>
        <v>0</v>
      </c>
      <c r="H41" s="163">
        <f t="shared" si="6"/>
        <v>0</v>
      </c>
      <c r="I41" s="163">
        <f t="shared" si="7"/>
        <v>0</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f>ROUND(D5*C22*C23*C44*C28*F42,0)</f>
        <v>0</v>
      </c>
      <c r="D42" s="1939"/>
      <c r="E42" s="179">
        <f t="shared" si="5"/>
        <v>0</v>
      </c>
      <c r="F42" s="719">
        <f>SUMIF(修正!A59:A70,G2,修正!G59:G70)</f>
        <v>0.15</v>
      </c>
      <c r="G42" s="179">
        <f>ROUND(IF(E2="工业",C42*$M$42,C42*$M$41),0)</f>
        <v>0</v>
      </c>
      <c r="H42" s="179">
        <f t="shared" si="6"/>
        <v>0</v>
      </c>
      <c r="I42" s="179">
        <f t="shared" si="7"/>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f>ROUND(POWER(1+E44,H44-G44)*(POWER(1+E44,G44)-1)/(POWER(1+E44,H44)-1),4)</f>
        <v>0</v>
      </c>
      <c r="D44" s="163" t="s">
        <v>1999</v>
      </c>
      <c r="E44" s="1985">
        <f>G24</f>
        <v>5.5E-2</v>
      </c>
      <c r="F44" s="163" t="s">
        <v>2008</v>
      </c>
      <c r="G44" s="175"/>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1.0568</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t="s">
        <v>3426</v>
      </c>
      <c r="D50" s="998">
        <f t="shared" ref="D50:D58" si="8">SUMIF($J$49:$N$49,C50,J50:N50)</f>
        <v>1.47E-2</v>
      </c>
      <c r="E50" s="698">
        <f>ROUND(SUM(D50:D58),4)</f>
        <v>5.6800000000000003E-2</v>
      </c>
      <c r="F50" s="1671">
        <f>IF(E2="商业",SUMIF(L1:L12,G2,N1:N12),"——")</f>
        <v>9.8000000000000004E-2</v>
      </c>
      <c r="G50" s="996">
        <v>1.47E-2</v>
      </c>
      <c r="H50" s="999">
        <f t="shared" ref="H50:H58" si="9">IFERROR(ROUNDDOWN($F$50*I50/2,4),"——")</f>
        <v>1.47E-2</v>
      </c>
      <c r="I50" s="3061">
        <v>0.3</v>
      </c>
      <c r="J50" s="997">
        <f t="shared" ref="J50:J58" si="10">K50+$G50</f>
        <v>2.9399999999999999E-2</v>
      </c>
      <c r="K50" s="997">
        <f t="shared" ref="K50:K58" si="11">$L50+$G50</f>
        <v>1.47E-2</v>
      </c>
      <c r="L50" s="997">
        <v>0</v>
      </c>
      <c r="M50" s="997">
        <f t="shared" ref="M50:N58" si="12">L50-$G50</f>
        <v>-1.47E-2</v>
      </c>
      <c r="N50" s="997">
        <f t="shared" si="12"/>
        <v>-2.9399999999999999E-2</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t="s">
        <v>3426</v>
      </c>
      <c r="D51" s="998">
        <f t="shared" si="8"/>
        <v>1.0699999999999999E-2</v>
      </c>
      <c r="E51" s="699"/>
      <c r="F51" s="1671"/>
      <c r="G51" s="996">
        <v>1.0699999999999999E-2</v>
      </c>
      <c r="H51" s="999">
        <f t="shared" si="9"/>
        <v>1.0699999999999999E-2</v>
      </c>
      <c r="I51" s="3061">
        <v>0.22</v>
      </c>
      <c r="J51" s="997">
        <f t="shared" si="10"/>
        <v>2.1399999999999999E-2</v>
      </c>
      <c r="K51" s="997">
        <f t="shared" si="11"/>
        <v>1.0699999999999999E-2</v>
      </c>
      <c r="L51" s="997">
        <v>0</v>
      </c>
      <c r="M51" s="997">
        <f t="shared" si="12"/>
        <v>-1.0699999999999999E-2</v>
      </c>
      <c r="N51" s="997">
        <f t="shared" si="12"/>
        <v>-2.1399999999999999E-2</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t="s">
        <v>3427</v>
      </c>
      <c r="D52" s="998">
        <f t="shared" si="8"/>
        <v>1.1599999999999999E-2</v>
      </c>
      <c r="E52" s="699"/>
      <c r="F52" s="1671"/>
      <c r="G52" s="996">
        <v>5.7999999999999996E-3</v>
      </c>
      <c r="H52" s="999">
        <f t="shared" si="9"/>
        <v>5.7999999999999996E-3</v>
      </c>
      <c r="I52" s="3061">
        <v>0.12</v>
      </c>
      <c r="J52" s="997">
        <f t="shared" si="10"/>
        <v>1.1599999999999999E-2</v>
      </c>
      <c r="K52" s="997">
        <f t="shared" si="11"/>
        <v>5.7999999999999996E-3</v>
      </c>
      <c r="L52" s="997">
        <v>0</v>
      </c>
      <c r="M52" s="997">
        <f t="shared" si="12"/>
        <v>-5.7999999999999996E-3</v>
      </c>
      <c r="N52" s="997">
        <f t="shared" si="12"/>
        <v>-1.1599999999999999E-2</v>
      </c>
      <c r="AA52" s="1053"/>
      <c r="AB52" s="1053"/>
      <c r="AC52" s="1053"/>
      <c r="AD52" s="1053"/>
      <c r="AE52" s="1053"/>
      <c r="AF52" s="1053"/>
      <c r="AG52" s="1053"/>
      <c r="AH52" s="1053"/>
      <c r="AI52" s="1053"/>
      <c r="AJ52" s="1053"/>
      <c r="AK52" s="1053"/>
    </row>
    <row r="53" spans="1:37" s="1052" customFormat="1" ht="36.75">
      <c r="A53" s="1964" t="s">
        <v>2054</v>
      </c>
      <c r="B53" s="1968" t="s">
        <v>2055</v>
      </c>
      <c r="C53" s="1881" t="s">
        <v>3426</v>
      </c>
      <c r="D53" s="998">
        <f t="shared" si="8"/>
        <v>2.3999999999999998E-3</v>
      </c>
      <c r="E53" s="699"/>
      <c r="F53" s="1671"/>
      <c r="G53" s="996">
        <v>2.3999999999999998E-3</v>
      </c>
      <c r="H53" s="999">
        <f t="shared" si="9"/>
        <v>2.3999999999999998E-3</v>
      </c>
      <c r="I53" s="3061">
        <v>0.05</v>
      </c>
      <c r="J53" s="997">
        <f t="shared" si="10"/>
        <v>4.7999999999999996E-3</v>
      </c>
      <c r="K53" s="997">
        <f t="shared" si="11"/>
        <v>2.3999999999999998E-3</v>
      </c>
      <c r="L53" s="997">
        <v>0</v>
      </c>
      <c r="M53" s="997">
        <f t="shared" si="12"/>
        <v>-2.3999999999999998E-3</v>
      </c>
      <c r="N53" s="997">
        <f t="shared" si="12"/>
        <v>-4.7999999999999996E-3</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t="s">
        <v>3428</v>
      </c>
      <c r="D54" s="998">
        <f t="shared" si="8"/>
        <v>0</v>
      </c>
      <c r="E54" s="699"/>
      <c r="F54" s="1671"/>
      <c r="G54" s="996">
        <v>3.8999999999999998E-3</v>
      </c>
      <c r="H54" s="999">
        <f t="shared" si="9"/>
        <v>3.8999999999999998E-3</v>
      </c>
      <c r="I54" s="3061">
        <v>0.08</v>
      </c>
      <c r="J54" s="997">
        <f t="shared" si="10"/>
        <v>7.7999999999999996E-3</v>
      </c>
      <c r="K54" s="997">
        <f t="shared" si="11"/>
        <v>3.8999999999999998E-3</v>
      </c>
      <c r="L54" s="997">
        <v>0</v>
      </c>
      <c r="M54" s="997">
        <f t="shared" si="12"/>
        <v>-3.8999999999999998E-3</v>
      </c>
      <c r="N54" s="997">
        <f t="shared" si="12"/>
        <v>-7.7999999999999996E-3</v>
      </c>
      <c r="AA54" s="1053"/>
      <c r="AB54" s="1053"/>
      <c r="AC54" s="1053"/>
      <c r="AD54" s="1053"/>
      <c r="AE54" s="1053"/>
      <c r="AF54" s="1053"/>
      <c r="AG54" s="1053"/>
      <c r="AH54" s="1053"/>
      <c r="AI54" s="1053"/>
      <c r="AJ54" s="1053"/>
      <c r="AK54" s="1053"/>
    </row>
    <row r="55" spans="1:37" s="1052" customFormat="1" ht="24">
      <c r="A55" s="1964" t="s">
        <v>2057</v>
      </c>
      <c r="B55" s="1969" t="s">
        <v>2058</v>
      </c>
      <c r="C55" s="1881" t="s">
        <v>3426</v>
      </c>
      <c r="D55" s="998">
        <f t="shared" si="8"/>
        <v>2.3999999999999998E-3</v>
      </c>
      <c r="E55" s="699"/>
      <c r="F55" s="1671"/>
      <c r="G55" s="996">
        <v>2.3999999999999998E-3</v>
      </c>
      <c r="H55" s="999">
        <f t="shared" si="9"/>
        <v>2.3999999999999998E-3</v>
      </c>
      <c r="I55" s="3061">
        <v>0.05</v>
      </c>
      <c r="J55" s="997">
        <f t="shared" si="10"/>
        <v>4.7999999999999996E-3</v>
      </c>
      <c r="K55" s="997">
        <f t="shared" si="11"/>
        <v>2.3999999999999998E-3</v>
      </c>
      <c r="L55" s="997">
        <v>0</v>
      </c>
      <c r="M55" s="997">
        <f t="shared" si="12"/>
        <v>-2.3999999999999998E-3</v>
      </c>
      <c r="N55" s="997">
        <f t="shared" si="12"/>
        <v>-4.7999999999999996E-3</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t="s">
        <v>3427</v>
      </c>
      <c r="D56" s="998">
        <f t="shared" si="8"/>
        <v>4.7999999999999996E-3</v>
      </c>
      <c r="E56" s="699"/>
      <c r="F56" s="1671"/>
      <c r="G56" s="996">
        <v>2.3999999999999998E-3</v>
      </c>
      <c r="H56" s="999">
        <f t="shared" si="9"/>
        <v>2.3999999999999998E-3</v>
      </c>
      <c r="I56" s="3061">
        <v>0.05</v>
      </c>
      <c r="J56" s="997">
        <f t="shared" si="10"/>
        <v>4.7999999999999996E-3</v>
      </c>
      <c r="K56" s="997">
        <f t="shared" si="11"/>
        <v>2.3999999999999998E-3</v>
      </c>
      <c r="L56" s="997">
        <v>0</v>
      </c>
      <c r="M56" s="997">
        <f t="shared" si="12"/>
        <v>-2.3999999999999998E-3</v>
      </c>
      <c r="N56" s="997">
        <f t="shared" si="12"/>
        <v>-4.7999999999999996E-3</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t="s">
        <v>3427</v>
      </c>
      <c r="D57" s="998">
        <f t="shared" si="8"/>
        <v>7.7999999999999996E-3</v>
      </c>
      <c r="E57" s="699"/>
      <c r="F57" s="1671"/>
      <c r="G57" s="996">
        <v>3.8999999999999998E-3</v>
      </c>
      <c r="H57" s="999">
        <f t="shared" si="9"/>
        <v>3.8999999999999998E-3</v>
      </c>
      <c r="I57" s="3061">
        <v>0.08</v>
      </c>
      <c r="J57" s="997">
        <f t="shared" si="10"/>
        <v>7.7999999999999996E-3</v>
      </c>
      <c r="K57" s="997">
        <f t="shared" si="11"/>
        <v>3.8999999999999998E-3</v>
      </c>
      <c r="L57" s="997">
        <v>0</v>
      </c>
      <c r="M57" s="997">
        <f t="shared" si="12"/>
        <v>-3.8999999999999998E-3</v>
      </c>
      <c r="N57" s="997">
        <f t="shared" si="12"/>
        <v>-7.7999999999999996E-3</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t="s">
        <v>3426</v>
      </c>
      <c r="D58" s="998">
        <f t="shared" si="8"/>
        <v>2.3999999999999998E-3</v>
      </c>
      <c r="E58" s="700"/>
      <c r="F58" s="1671"/>
      <c r="G58" s="996">
        <v>2.3999999999999998E-3</v>
      </c>
      <c r="H58" s="999">
        <f t="shared" si="9"/>
        <v>2.3999999999999998E-3</v>
      </c>
      <c r="I58" s="3062">
        <v>0.05</v>
      </c>
      <c r="J58" s="997">
        <f t="shared" si="10"/>
        <v>4.7999999999999996E-3</v>
      </c>
      <c r="K58" s="997">
        <f t="shared" si="11"/>
        <v>2.3999999999999998E-3</v>
      </c>
      <c r="L58" s="997">
        <v>0</v>
      </c>
      <c r="M58" s="997">
        <f t="shared" si="12"/>
        <v>-2.3999999999999998E-3</v>
      </c>
      <c r="N58" s="997">
        <f t="shared" si="12"/>
        <v>-4.7999999999999996E-3</v>
      </c>
      <c r="AA58" s="1053"/>
      <c r="AB58" s="1053"/>
      <c r="AC58" s="1053"/>
      <c r="AD58" s="1053"/>
      <c r="AE58" s="1053"/>
      <c r="AF58" s="1053"/>
      <c r="AG58" s="1053"/>
      <c r="AH58" s="1053"/>
      <c r="AI58" s="1053"/>
      <c r="AJ58" s="1053"/>
      <c r="AK58" s="1053"/>
    </row>
    <row r="59" spans="1:37" s="1052" customFormat="1" ht="15">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c r="D61" s="998">
        <f t="shared" ref="D61:D69" si="13">SUMIF($J$60:$N$60,C61,J61:N61)</f>
        <v>0</v>
      </c>
      <c r="E61" s="698">
        <f>ROUND(SUM(D61:D69),4)</f>
        <v>0</v>
      </c>
      <c r="F61" s="1671" t="str">
        <f>IF(E2="办公",SUMIF(L1:L12,G2,N1:N12),"——")</f>
        <v>——</v>
      </c>
      <c r="G61" s="996"/>
      <c r="H61" s="999" t="str">
        <f t="shared" ref="H61:H69" si="14">IFERROR(ROUNDDOWN($F$61*I61/2,4),"——")</f>
        <v>——</v>
      </c>
      <c r="I61" s="3061">
        <v>0.25</v>
      </c>
      <c r="J61" s="997">
        <f t="shared" ref="J61:J69" si="15">K61+$G61</f>
        <v>0</v>
      </c>
      <c r="K61" s="997">
        <f t="shared" ref="K61:K69" si="16">$L61+$G61</f>
        <v>0</v>
      </c>
      <c r="L61" s="997">
        <v>0</v>
      </c>
      <c r="M61" s="997">
        <f t="shared" ref="M61:N69" si="17">L61-$G61</f>
        <v>0</v>
      </c>
      <c r="N61" s="997">
        <f t="shared" si="17"/>
        <v>0</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c r="D62" s="998">
        <f t="shared" si="13"/>
        <v>0</v>
      </c>
      <c r="E62" s="699"/>
      <c r="F62" s="1671"/>
      <c r="G62" s="996"/>
      <c r="H62" s="999" t="str">
        <f t="shared" si="14"/>
        <v>——</v>
      </c>
      <c r="I62" s="3061">
        <v>0.26</v>
      </c>
      <c r="J62" s="997">
        <f t="shared" si="15"/>
        <v>0</v>
      </c>
      <c r="K62" s="997">
        <f t="shared" si="16"/>
        <v>0</v>
      </c>
      <c r="L62" s="997">
        <v>0</v>
      </c>
      <c r="M62" s="997">
        <f t="shared" si="17"/>
        <v>0</v>
      </c>
      <c r="N62" s="997">
        <f t="shared" si="17"/>
        <v>0</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c r="D63" s="998">
        <f t="shared" si="13"/>
        <v>0</v>
      </c>
      <c r="E63" s="699"/>
      <c r="F63" s="1671"/>
      <c r="G63" s="996"/>
      <c r="H63" s="999" t="str">
        <f t="shared" si="14"/>
        <v>——</v>
      </c>
      <c r="I63" s="3061">
        <v>0.11</v>
      </c>
      <c r="J63" s="997">
        <f t="shared" si="15"/>
        <v>0</v>
      </c>
      <c r="K63" s="997">
        <f t="shared" si="16"/>
        <v>0</v>
      </c>
      <c r="L63" s="997">
        <v>0</v>
      </c>
      <c r="M63" s="997">
        <f t="shared" si="17"/>
        <v>0</v>
      </c>
      <c r="N63" s="997">
        <f t="shared" si="17"/>
        <v>0</v>
      </c>
      <c r="AA63" s="1053"/>
      <c r="AB63" s="1053"/>
      <c r="AC63" s="1053"/>
      <c r="AD63" s="1053"/>
      <c r="AE63" s="1053"/>
      <c r="AF63" s="1053"/>
      <c r="AG63" s="1053"/>
      <c r="AH63" s="1053"/>
      <c r="AI63" s="1053"/>
      <c r="AJ63" s="1053"/>
      <c r="AK63" s="1053"/>
    </row>
    <row r="64" spans="1:37" s="1052" customFormat="1" ht="36.75">
      <c r="A64" s="1964" t="s">
        <v>2054</v>
      </c>
      <c r="B64" s="1968" t="s">
        <v>2055</v>
      </c>
      <c r="C64" s="1881"/>
      <c r="D64" s="998">
        <f t="shared" si="13"/>
        <v>0</v>
      </c>
      <c r="E64" s="699"/>
      <c r="F64" s="1671"/>
      <c r="G64" s="996"/>
      <c r="H64" s="999" t="str">
        <f t="shared" si="14"/>
        <v>——</v>
      </c>
      <c r="I64" s="3061">
        <v>0.05</v>
      </c>
      <c r="J64" s="997">
        <f t="shared" si="15"/>
        <v>0</v>
      </c>
      <c r="K64" s="997">
        <f t="shared" si="16"/>
        <v>0</v>
      </c>
      <c r="L64" s="997">
        <v>0</v>
      </c>
      <c r="M64" s="997">
        <f t="shared" si="17"/>
        <v>0</v>
      </c>
      <c r="N64" s="997">
        <f t="shared" si="17"/>
        <v>0</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c r="D65" s="998">
        <f t="shared" si="13"/>
        <v>0</v>
      </c>
      <c r="E65" s="699"/>
      <c r="F65" s="1671"/>
      <c r="G65" s="996"/>
      <c r="H65" s="999" t="str">
        <f t="shared" si="14"/>
        <v>——</v>
      </c>
      <c r="I65" s="3061">
        <v>0.05</v>
      </c>
      <c r="J65" s="997">
        <f t="shared" si="15"/>
        <v>0</v>
      </c>
      <c r="K65" s="997">
        <f t="shared" si="16"/>
        <v>0</v>
      </c>
      <c r="L65" s="997">
        <v>0</v>
      </c>
      <c r="M65" s="997">
        <f t="shared" si="17"/>
        <v>0</v>
      </c>
      <c r="N65" s="997">
        <f t="shared" si="17"/>
        <v>0</v>
      </c>
      <c r="AA65" s="1053"/>
      <c r="AB65" s="1053"/>
      <c r="AC65" s="1053"/>
      <c r="AD65" s="1053"/>
      <c r="AE65" s="1053"/>
      <c r="AF65" s="1053"/>
      <c r="AG65" s="1053"/>
      <c r="AH65" s="1053"/>
      <c r="AI65" s="1053"/>
      <c r="AJ65" s="1053"/>
      <c r="AK65" s="1053"/>
    </row>
    <row r="66" spans="1:37" s="1052" customFormat="1" ht="24">
      <c r="A66" s="1964" t="s">
        <v>2057</v>
      </c>
      <c r="B66" s="1969" t="s">
        <v>2058</v>
      </c>
      <c r="C66" s="1881"/>
      <c r="D66" s="998">
        <f t="shared" si="13"/>
        <v>0</v>
      </c>
      <c r="E66" s="699"/>
      <c r="F66" s="1671"/>
      <c r="G66" s="996"/>
      <c r="H66" s="999" t="str">
        <f t="shared" si="14"/>
        <v>——</v>
      </c>
      <c r="I66" s="3061">
        <v>0.06</v>
      </c>
      <c r="J66" s="997">
        <f t="shared" si="15"/>
        <v>0</v>
      </c>
      <c r="K66" s="997">
        <f t="shared" si="16"/>
        <v>0</v>
      </c>
      <c r="L66" s="997">
        <v>0</v>
      </c>
      <c r="M66" s="997">
        <f t="shared" si="17"/>
        <v>0</v>
      </c>
      <c r="N66" s="997">
        <f t="shared" si="17"/>
        <v>0</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c r="D67" s="998">
        <f t="shared" si="13"/>
        <v>0</v>
      </c>
      <c r="E67" s="699"/>
      <c r="F67" s="1671"/>
      <c r="G67" s="996"/>
      <c r="H67" s="999" t="str">
        <f t="shared" si="14"/>
        <v>——</v>
      </c>
      <c r="I67" s="3061">
        <v>0.06</v>
      </c>
      <c r="J67" s="997">
        <f t="shared" si="15"/>
        <v>0</v>
      </c>
      <c r="K67" s="997">
        <f t="shared" si="16"/>
        <v>0</v>
      </c>
      <c r="L67" s="997">
        <v>0</v>
      </c>
      <c r="M67" s="997">
        <f t="shared" si="17"/>
        <v>0</v>
      </c>
      <c r="N67" s="997">
        <f t="shared" si="17"/>
        <v>0</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c r="D68" s="998">
        <f t="shared" si="13"/>
        <v>0</v>
      </c>
      <c r="E68" s="699"/>
      <c r="F68" s="1671"/>
      <c r="G68" s="996"/>
      <c r="H68" s="999" t="str">
        <f t="shared" si="14"/>
        <v>——</v>
      </c>
      <c r="I68" s="3061">
        <v>0.09</v>
      </c>
      <c r="J68" s="997">
        <f t="shared" si="15"/>
        <v>0</v>
      </c>
      <c r="K68" s="997">
        <f t="shared" si="16"/>
        <v>0</v>
      </c>
      <c r="L68" s="997">
        <v>0</v>
      </c>
      <c r="M68" s="997">
        <f t="shared" si="17"/>
        <v>0</v>
      </c>
      <c r="N68" s="997">
        <f t="shared" si="17"/>
        <v>0</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c r="D69" s="998">
        <f t="shared" si="13"/>
        <v>0</v>
      </c>
      <c r="E69" s="700"/>
      <c r="F69" s="1671"/>
      <c r="G69" s="996"/>
      <c r="H69" s="999" t="str">
        <f t="shared" si="14"/>
        <v>——</v>
      </c>
      <c r="I69" s="3062">
        <v>7.0000000000000007E-2</v>
      </c>
      <c r="J69" s="997">
        <f t="shared" si="15"/>
        <v>0</v>
      </c>
      <c r="K69" s="997">
        <f t="shared" si="16"/>
        <v>0</v>
      </c>
      <c r="L69" s="997">
        <v>0</v>
      </c>
      <c r="M69" s="997">
        <f t="shared" si="17"/>
        <v>0</v>
      </c>
      <c r="N69" s="997">
        <f t="shared" si="17"/>
        <v>0</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8">SUMIF($J$71:$N$71,C72,J72:N72)</f>
        <v>0</v>
      </c>
      <c r="E72" s="698">
        <f>ROUND(SUM(D72:D80),4)</f>
        <v>0</v>
      </c>
      <c r="F72" s="1671" t="str">
        <f>IF(E2="住宅",SUMIF(L1:L12,G2,N1:N12),"——")</f>
        <v>——</v>
      </c>
      <c r="G72" s="996"/>
      <c r="H72" s="999" t="str">
        <f t="shared" ref="H72:H80" si="19">IFERROR(ROUNDDOWN($F$72*I72/2,4),"——")</f>
        <v>——</v>
      </c>
      <c r="I72" s="3061">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8"/>
        <v>0</v>
      </c>
      <c r="E73" s="701"/>
      <c r="F73" s="1671"/>
      <c r="G73" s="996"/>
      <c r="H73" s="999" t="str">
        <f t="shared" si="19"/>
        <v>——</v>
      </c>
      <c r="I73" s="3061">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8"/>
        <v>0</v>
      </c>
      <c r="E74" s="701"/>
      <c r="F74" s="1671"/>
      <c r="G74" s="996"/>
      <c r="H74" s="999" t="str">
        <f t="shared" si="19"/>
        <v>——</v>
      </c>
      <c r="I74" s="3061">
        <v>0.1</v>
      </c>
      <c r="J74" s="997">
        <f t="shared" si="20"/>
        <v>0</v>
      </c>
      <c r="K74" s="997">
        <f t="shared" si="21"/>
        <v>0</v>
      </c>
      <c r="L74" s="997">
        <v>0</v>
      </c>
      <c r="M74" s="997">
        <f t="shared" si="22"/>
        <v>0</v>
      </c>
      <c r="N74" s="997">
        <f t="shared" si="22"/>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8"/>
        <v>0</v>
      </c>
      <c r="E75" s="701"/>
      <c r="F75" s="1671"/>
      <c r="G75" s="996"/>
      <c r="H75" s="999" t="str">
        <f t="shared" si="19"/>
        <v>——</v>
      </c>
      <c r="I75" s="3061">
        <v>0.05</v>
      </c>
      <c r="J75" s="997">
        <f t="shared" si="20"/>
        <v>0</v>
      </c>
      <c r="K75" s="997">
        <f t="shared" si="21"/>
        <v>0</v>
      </c>
      <c r="L75" s="997">
        <v>0</v>
      </c>
      <c r="M75" s="997">
        <f t="shared" si="22"/>
        <v>0</v>
      </c>
      <c r="N75" s="997">
        <f t="shared" si="22"/>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8"/>
        <v>0</v>
      </c>
      <c r="E76" s="701"/>
      <c r="F76" s="1671"/>
      <c r="G76" s="996"/>
      <c r="H76" s="999" t="str">
        <f t="shared" si="19"/>
        <v>——</v>
      </c>
      <c r="I76" s="3061">
        <v>0.08</v>
      </c>
      <c r="J76" s="997">
        <f t="shared" si="20"/>
        <v>0</v>
      </c>
      <c r="K76" s="997">
        <f t="shared" si="21"/>
        <v>0</v>
      </c>
      <c r="L76" s="997">
        <v>0</v>
      </c>
      <c r="M76" s="997">
        <f t="shared" si="22"/>
        <v>0</v>
      </c>
      <c r="N76" s="997">
        <f t="shared" si="22"/>
        <v>0</v>
      </c>
      <c r="O76" s="1052"/>
      <c r="P76" s="1052"/>
      <c r="Z76" s="1839"/>
      <c r="AA76" s="1889"/>
      <c r="AG76" s="1054"/>
      <c r="AK76" s="1889"/>
    </row>
    <row r="77" spans="1:37" ht="25.5">
      <c r="A77" s="1964" t="s">
        <v>2060</v>
      </c>
      <c r="B77" s="1236" t="str">
        <f>估价对象房地状况!C22</f>
        <v>估价对象所在区域基础设施水平</v>
      </c>
      <c r="C77" s="1881"/>
      <c r="D77" s="998">
        <f t="shared" si="18"/>
        <v>0</v>
      </c>
      <c r="E77" s="701"/>
      <c r="F77" s="1671"/>
      <c r="G77" s="996"/>
      <c r="H77" s="999" t="str">
        <f t="shared" si="19"/>
        <v>——</v>
      </c>
      <c r="I77" s="3061">
        <v>0.09</v>
      </c>
      <c r="J77" s="997">
        <f t="shared" si="20"/>
        <v>0</v>
      </c>
      <c r="K77" s="997">
        <f t="shared" si="21"/>
        <v>0</v>
      </c>
      <c r="L77" s="997">
        <v>0</v>
      </c>
      <c r="M77" s="997">
        <f t="shared" si="22"/>
        <v>0</v>
      </c>
      <c r="N77" s="997">
        <f t="shared" si="22"/>
        <v>0</v>
      </c>
      <c r="O77" s="1052"/>
      <c r="P77" s="1052"/>
      <c r="Z77" s="1839"/>
      <c r="AA77" s="1889"/>
      <c r="AG77" s="1054"/>
      <c r="AK77" s="1889"/>
    </row>
    <row r="78" spans="1:37" ht="24">
      <c r="A78" s="1964" t="s">
        <v>2057</v>
      </c>
      <c r="B78" s="1969" t="s">
        <v>2058</v>
      </c>
      <c r="C78" s="1881"/>
      <c r="D78" s="998">
        <f t="shared" si="18"/>
        <v>0</v>
      </c>
      <c r="E78" s="701"/>
      <c r="F78" s="1671"/>
      <c r="G78" s="996"/>
      <c r="H78" s="999" t="str">
        <f t="shared" si="19"/>
        <v>——</v>
      </c>
      <c r="I78" s="3061">
        <v>0.05</v>
      </c>
      <c r="J78" s="997">
        <f t="shared" si="20"/>
        <v>0</v>
      </c>
      <c r="K78" s="997">
        <f t="shared" si="21"/>
        <v>0</v>
      </c>
      <c r="L78" s="997">
        <v>0</v>
      </c>
      <c r="M78" s="997">
        <f t="shared" si="22"/>
        <v>0</v>
      </c>
      <c r="N78" s="997">
        <f t="shared" si="22"/>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8"/>
        <v>0</v>
      </c>
      <c r="E79" s="701"/>
      <c r="F79" s="1671"/>
      <c r="G79" s="996"/>
      <c r="H79" s="999" t="str">
        <f t="shared" si="19"/>
        <v>——</v>
      </c>
      <c r="I79" s="3061">
        <v>0.12</v>
      </c>
      <c r="J79" s="997">
        <f t="shared" si="20"/>
        <v>0</v>
      </c>
      <c r="K79" s="997">
        <f t="shared" si="21"/>
        <v>0</v>
      </c>
      <c r="L79" s="997">
        <v>0</v>
      </c>
      <c r="M79" s="997">
        <f t="shared" si="22"/>
        <v>0</v>
      </c>
      <c r="N79" s="997">
        <f t="shared" si="22"/>
        <v>0</v>
      </c>
      <c r="Z79" s="1839"/>
      <c r="AA79" s="1889"/>
      <c r="AG79" s="1054"/>
      <c r="AK79" s="1889"/>
    </row>
    <row r="80" spans="1:37" ht="24.75" thickBot="1">
      <c r="A80" s="1971" t="s">
        <v>2068</v>
      </c>
      <c r="B80" s="1975"/>
      <c r="C80" s="1881"/>
      <c r="D80" s="998">
        <f t="shared" si="18"/>
        <v>0</v>
      </c>
      <c r="E80" s="702"/>
      <c r="F80" s="1671"/>
      <c r="G80" s="996"/>
      <c r="H80" s="999" t="str">
        <f t="shared" si="19"/>
        <v>——</v>
      </c>
      <c r="I80" s="3062">
        <v>0.05</v>
      </c>
      <c r="J80" s="997">
        <f t="shared" si="20"/>
        <v>0</v>
      </c>
      <c r="K80" s="997">
        <f t="shared" si="21"/>
        <v>0</v>
      </c>
      <c r="L80" s="997">
        <v>0</v>
      </c>
      <c r="M80" s="997">
        <f t="shared" si="22"/>
        <v>0</v>
      </c>
      <c r="N80" s="997">
        <f t="shared" si="22"/>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3">SUMIF($J$82:$N$82,C83,J83:N83)</f>
        <v>0</v>
      </c>
      <c r="E83" s="698">
        <f>ROUND(SUM(D83:D90),4)</f>
        <v>0</v>
      </c>
      <c r="F83" s="1671" t="str">
        <f>IF(E2="工业",SUMIF(L1:L12,G2,N1:N12),"——")</f>
        <v>——</v>
      </c>
      <c r="G83" s="996"/>
      <c r="H83" s="999" t="str">
        <f t="shared" ref="H83:H90" si="24">IFERROR(ROUNDDOWN($F$83*I83/2,4),"——")</f>
        <v>——</v>
      </c>
      <c r="I83" s="3061">
        <v>0.26</v>
      </c>
      <c r="J83" s="997">
        <f t="shared" ref="J83:J90" si="25">K83+$G83</f>
        <v>0</v>
      </c>
      <c r="K83" s="997">
        <f t="shared" ref="K83:K90" si="26">$L83+$G83</f>
        <v>0</v>
      </c>
      <c r="L83" s="997">
        <v>0</v>
      </c>
      <c r="M83" s="997">
        <f t="shared" ref="M83:N90" si="27">L83-$G83</f>
        <v>0</v>
      </c>
      <c r="N83" s="997">
        <f t="shared" si="27"/>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3"/>
        <v>0</v>
      </c>
      <c r="E84" s="701"/>
      <c r="F84" s="1671"/>
      <c r="G84" s="996"/>
      <c r="H84" s="999" t="str">
        <f t="shared" si="24"/>
        <v>——</v>
      </c>
      <c r="I84" s="3061">
        <v>0.3</v>
      </c>
      <c r="J84" s="997">
        <f t="shared" si="25"/>
        <v>0</v>
      </c>
      <c r="K84" s="997">
        <f t="shared" si="26"/>
        <v>0</v>
      </c>
      <c r="L84" s="997">
        <v>0</v>
      </c>
      <c r="M84" s="997">
        <f t="shared" si="27"/>
        <v>0</v>
      </c>
      <c r="N84" s="997">
        <f t="shared" si="27"/>
        <v>0</v>
      </c>
      <c r="Z84" s="1839"/>
      <c r="AA84" s="1889"/>
      <c r="AG84" s="1054"/>
      <c r="AK84" s="1889"/>
    </row>
    <row r="85" spans="1:37" ht="36">
      <c r="A85" s="3063" t="s">
        <v>3265</v>
      </c>
      <c r="B85" s="1258">
        <f>估价对象房地状况!G17</f>
        <v>0</v>
      </c>
      <c r="C85" s="1881"/>
      <c r="D85" s="998">
        <f t="shared" si="23"/>
        <v>0</v>
      </c>
      <c r="E85" s="701"/>
      <c r="F85" s="1671"/>
      <c r="G85" s="996"/>
      <c r="H85" s="999" t="str">
        <f t="shared" si="24"/>
        <v>——</v>
      </c>
      <c r="I85" s="3061">
        <v>0.1</v>
      </c>
      <c r="J85" s="997">
        <f t="shared" si="25"/>
        <v>0</v>
      </c>
      <c r="K85" s="997">
        <f t="shared" si="26"/>
        <v>0</v>
      </c>
      <c r="L85" s="997">
        <v>0</v>
      </c>
      <c r="M85" s="997">
        <f t="shared" si="27"/>
        <v>0</v>
      </c>
      <c r="N85" s="997">
        <f t="shared" si="27"/>
        <v>0</v>
      </c>
      <c r="Z85" s="1839"/>
      <c r="AA85" s="1889"/>
      <c r="AG85" s="1054"/>
      <c r="AK85" s="1889"/>
    </row>
    <row r="86" spans="1:37" ht="14.25">
      <c r="A86" s="1964" t="s">
        <v>2067</v>
      </c>
      <c r="B86" s="1258">
        <f>估价对象房地状况!G22</f>
        <v>0</v>
      </c>
      <c r="C86" s="1881"/>
      <c r="D86" s="998">
        <f t="shared" si="23"/>
        <v>0</v>
      </c>
      <c r="E86" s="701"/>
      <c r="F86" s="1671"/>
      <c r="G86" s="996"/>
      <c r="H86" s="999" t="str">
        <f t="shared" si="24"/>
        <v>——</v>
      </c>
      <c r="I86" s="3061">
        <v>0.05</v>
      </c>
      <c r="J86" s="997">
        <f t="shared" si="25"/>
        <v>0</v>
      </c>
      <c r="K86" s="997">
        <f t="shared" si="26"/>
        <v>0</v>
      </c>
      <c r="L86" s="997">
        <v>0</v>
      </c>
      <c r="M86" s="997">
        <f t="shared" si="27"/>
        <v>0</v>
      </c>
      <c r="N86" s="997">
        <f t="shared" si="27"/>
        <v>0</v>
      </c>
      <c r="Z86" s="1839"/>
      <c r="AA86" s="1889"/>
      <c r="AG86" s="1054"/>
      <c r="AK86" s="1889"/>
    </row>
    <row r="87" spans="1:37" ht="25.5">
      <c r="A87" s="1964" t="s">
        <v>2059</v>
      </c>
      <c r="B87" s="1236" t="str">
        <f>估价对象房地状况!G19</f>
        <v>估价对象所在区域公共配套设施齐备情况</v>
      </c>
      <c r="C87" s="1881"/>
      <c r="D87" s="998">
        <f t="shared" si="23"/>
        <v>0</v>
      </c>
      <c r="E87" s="701"/>
      <c r="F87" s="1671"/>
      <c r="G87" s="996"/>
      <c r="H87" s="999" t="str">
        <f t="shared" si="24"/>
        <v>——</v>
      </c>
      <c r="I87" s="3061">
        <v>0.06</v>
      </c>
      <c r="J87" s="997">
        <f t="shared" si="25"/>
        <v>0</v>
      </c>
      <c r="K87" s="997">
        <f t="shared" si="26"/>
        <v>0</v>
      </c>
      <c r="L87" s="997">
        <v>0</v>
      </c>
      <c r="M87" s="997">
        <f t="shared" si="27"/>
        <v>0</v>
      </c>
      <c r="N87" s="997">
        <f t="shared" si="27"/>
        <v>0</v>
      </c>
    </row>
    <row r="88" spans="1:37" ht="25.5">
      <c r="A88" s="1964" t="s">
        <v>2060</v>
      </c>
      <c r="B88" s="1236" t="str">
        <f>估价对象房地状况!G20</f>
        <v>估价对象所在区域基础设施水平</v>
      </c>
      <c r="C88" s="1881"/>
      <c r="D88" s="998">
        <f t="shared" si="23"/>
        <v>0</v>
      </c>
      <c r="E88" s="701"/>
      <c r="F88" s="1671"/>
      <c r="G88" s="996"/>
      <c r="H88" s="999" t="str">
        <f t="shared" si="24"/>
        <v>——</v>
      </c>
      <c r="I88" s="3061">
        <v>0.12</v>
      </c>
      <c r="J88" s="997">
        <f t="shared" si="25"/>
        <v>0</v>
      </c>
      <c r="K88" s="997">
        <f t="shared" si="26"/>
        <v>0</v>
      </c>
      <c r="L88" s="997">
        <v>0</v>
      </c>
      <c r="M88" s="997">
        <f t="shared" si="27"/>
        <v>0</v>
      </c>
      <c r="N88" s="997">
        <f t="shared" si="27"/>
        <v>0</v>
      </c>
    </row>
    <row r="89" spans="1:37" ht="24">
      <c r="A89" s="1964" t="s">
        <v>2057</v>
      </c>
      <c r="B89" s="1969" t="s">
        <v>2071</v>
      </c>
      <c r="C89" s="1881"/>
      <c r="D89" s="998">
        <f t="shared" si="23"/>
        <v>0</v>
      </c>
      <c r="E89" s="701"/>
      <c r="F89" s="1671"/>
      <c r="G89" s="996"/>
      <c r="H89" s="999" t="str">
        <f t="shared" si="24"/>
        <v>——</v>
      </c>
      <c r="I89" s="3061">
        <v>0.06</v>
      </c>
      <c r="J89" s="997">
        <f t="shared" si="25"/>
        <v>0</v>
      </c>
      <c r="K89" s="997">
        <f t="shared" si="26"/>
        <v>0</v>
      </c>
      <c r="L89" s="997">
        <v>0</v>
      </c>
      <c r="M89" s="997">
        <f t="shared" si="27"/>
        <v>0</v>
      </c>
      <c r="N89" s="997">
        <f t="shared" si="27"/>
        <v>0</v>
      </c>
    </row>
    <row r="90" spans="1:37" ht="39" thickBot="1">
      <c r="A90" s="1971" t="s">
        <v>2072</v>
      </c>
      <c r="B90" s="1976" t="str">
        <f>估价对象房地状况!G18</f>
        <v>该园区内是否有污染型企业，绿化情况，卫生条件，整体环境状况判断</v>
      </c>
      <c r="C90" s="1881"/>
      <c r="D90" s="998">
        <f t="shared" si="23"/>
        <v>0</v>
      </c>
      <c r="E90" s="702"/>
      <c r="F90" s="1671"/>
      <c r="G90" s="996"/>
      <c r="H90" s="999" t="str">
        <f t="shared" si="24"/>
        <v>——</v>
      </c>
      <c r="I90" s="3062">
        <v>0.05</v>
      </c>
      <c r="J90" s="997">
        <f t="shared" si="25"/>
        <v>0</v>
      </c>
      <c r="K90" s="997">
        <f t="shared" si="26"/>
        <v>0</v>
      </c>
      <c r="L90" s="997">
        <v>0</v>
      </c>
      <c r="M90" s="997">
        <f t="shared" si="27"/>
        <v>0</v>
      </c>
      <c r="N90" s="997">
        <f t="shared" si="27"/>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3266</v>
      </c>
      <c r="B92" s="2302"/>
      <c r="C92" s="2302" t="s">
        <v>3275</v>
      </c>
      <c r="D92" s="2302" t="s">
        <v>3276</v>
      </c>
      <c r="E92" s="3045" t="s">
        <v>3277</v>
      </c>
      <c r="F92" s="3075" t="s">
        <v>3278</v>
      </c>
      <c r="G92" s="2302" t="s">
        <v>3279</v>
      </c>
      <c r="H92" s="3082" t="s">
        <v>3282</v>
      </c>
      <c r="I92" s="2302" t="s">
        <v>3283</v>
      </c>
      <c r="J92" s="2144" t="s">
        <v>3284</v>
      </c>
      <c r="K92" s="2144" t="s">
        <v>3285</v>
      </c>
      <c r="L92" s="2144" t="s">
        <v>3286</v>
      </c>
      <c r="M92" s="2144" t="s">
        <v>3287</v>
      </c>
      <c r="N92" s="2144" t="s">
        <v>3288</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8">K93+$G93</f>
        <v>0</v>
      </c>
      <c r="K93" s="1906">
        <f t="shared" ref="K93:K101" si="29">$L93+$G93</f>
        <v>0</v>
      </c>
      <c r="L93" s="1906">
        <v>0</v>
      </c>
      <c r="M93" s="1906">
        <f t="shared" ref="M93:N101" si="30">L93-$G93</f>
        <v>0</v>
      </c>
      <c r="N93" s="1906">
        <f t="shared" si="30"/>
        <v>0</v>
      </c>
    </row>
    <row r="94" spans="1:37" ht="38.25">
      <c r="A94" s="3073" t="s">
        <v>3268</v>
      </c>
      <c r="B94" s="3064" t="str">
        <f>估价对象房地状况!C18</f>
        <v>估价对象周边有196路、B38路、Y25路等多条公交线路，综合评价交通便捷度一般</v>
      </c>
      <c r="C94" s="1881"/>
      <c r="D94" s="2302">
        <f t="shared" ref="D94:D101" si="31">SUMIF($J$60:$N$60,C94,J94:N94)</f>
        <v>0</v>
      </c>
      <c r="E94" s="3077"/>
      <c r="F94" s="1671"/>
      <c r="G94" s="3067"/>
      <c r="H94" s="3111" t="str">
        <f>IFERROR(ROUNDDOWN($F$93*I94/2,4),"——")</f>
        <v>——</v>
      </c>
      <c r="I94" s="3061">
        <v>0.26</v>
      </c>
      <c r="J94" s="1906">
        <f t="shared" si="28"/>
        <v>0</v>
      </c>
      <c r="K94" s="1906">
        <f t="shared" si="29"/>
        <v>0</v>
      </c>
      <c r="L94" s="1906">
        <v>0</v>
      </c>
      <c r="M94" s="1906">
        <f t="shared" si="30"/>
        <v>0</v>
      </c>
      <c r="N94" s="1906">
        <f t="shared" si="30"/>
        <v>0</v>
      </c>
    </row>
    <row r="95" spans="1:37" ht="36">
      <c r="A95" s="3063" t="s">
        <v>3264</v>
      </c>
      <c r="B95" s="3064">
        <f>估价对象房地状况!C19</f>
        <v>0</v>
      </c>
      <c r="C95" s="1881"/>
      <c r="D95" s="2302">
        <f t="shared" si="31"/>
        <v>0</v>
      </c>
      <c r="E95" s="3077"/>
      <c r="F95" s="1671"/>
      <c r="G95" s="3067"/>
      <c r="H95" s="3111" t="str">
        <f t="shared" ref="H95:H101" si="32">IFERROR(ROUNDDOWN($F$93*I95/2,4),"——")</f>
        <v>——</v>
      </c>
      <c r="I95" s="3061">
        <v>0.11</v>
      </c>
      <c r="J95" s="1906">
        <f t="shared" si="28"/>
        <v>0</v>
      </c>
      <c r="K95" s="1906">
        <f t="shared" si="29"/>
        <v>0</v>
      </c>
      <c r="L95" s="1906">
        <v>0</v>
      </c>
      <c r="M95" s="1906">
        <f t="shared" si="30"/>
        <v>0</v>
      </c>
      <c r="N95" s="1906">
        <f t="shared" si="30"/>
        <v>0</v>
      </c>
    </row>
    <row r="96" spans="1:37" ht="36.75">
      <c r="A96" s="3073" t="s">
        <v>3269</v>
      </c>
      <c r="B96" s="3079" t="s">
        <v>3280</v>
      </c>
      <c r="C96" s="1881"/>
      <c r="D96" s="2302">
        <f t="shared" si="31"/>
        <v>0</v>
      </c>
      <c r="E96" s="3077"/>
      <c r="F96" s="1671"/>
      <c r="G96" s="3067"/>
      <c r="H96" s="3111" t="str">
        <f t="shared" si="32"/>
        <v>——</v>
      </c>
      <c r="I96" s="3061">
        <v>0.05</v>
      </c>
      <c r="J96" s="1906">
        <f t="shared" si="28"/>
        <v>0</v>
      </c>
      <c r="K96" s="1906">
        <f t="shared" si="29"/>
        <v>0</v>
      </c>
      <c r="L96" s="1906">
        <v>0</v>
      </c>
      <c r="M96" s="1906">
        <f t="shared" si="30"/>
        <v>0</v>
      </c>
      <c r="N96" s="1906">
        <f t="shared" si="30"/>
        <v>0</v>
      </c>
    </row>
    <row r="97" spans="1:14" ht="24">
      <c r="A97" s="3073" t="s">
        <v>3270</v>
      </c>
      <c r="B97" s="3064">
        <f>估价对象房地状况!C24</f>
        <v>0</v>
      </c>
      <c r="C97" s="1881"/>
      <c r="D97" s="2302">
        <f t="shared" si="31"/>
        <v>0</v>
      </c>
      <c r="E97" s="3077"/>
      <c r="F97" s="1671"/>
      <c r="G97" s="3067"/>
      <c r="H97" s="3111" t="str">
        <f t="shared" si="32"/>
        <v>——</v>
      </c>
      <c r="I97" s="3061">
        <v>0.05</v>
      </c>
      <c r="J97" s="1906">
        <f t="shared" si="28"/>
        <v>0</v>
      </c>
      <c r="K97" s="1906">
        <f t="shared" si="29"/>
        <v>0</v>
      </c>
      <c r="L97" s="1906">
        <v>0</v>
      </c>
      <c r="M97" s="1906">
        <f t="shared" si="30"/>
        <v>0</v>
      </c>
      <c r="N97" s="1906">
        <f t="shared" si="30"/>
        <v>0</v>
      </c>
    </row>
    <row r="98" spans="1:14" ht="24">
      <c r="A98" s="3073" t="s">
        <v>3271</v>
      </c>
      <c r="B98" s="3080" t="s">
        <v>3281</v>
      </c>
      <c r="C98" s="1881"/>
      <c r="D98" s="2302">
        <f t="shared" si="31"/>
        <v>0</v>
      </c>
      <c r="E98" s="3077"/>
      <c r="F98" s="1671"/>
      <c r="G98" s="3067"/>
      <c r="H98" s="3111" t="str">
        <f t="shared" si="32"/>
        <v>——</v>
      </c>
      <c r="I98" s="3061">
        <v>0.06</v>
      </c>
      <c r="J98" s="1906">
        <f t="shared" si="28"/>
        <v>0</v>
      </c>
      <c r="K98" s="1906">
        <f t="shared" si="29"/>
        <v>0</v>
      </c>
      <c r="L98" s="1906">
        <v>0</v>
      </c>
      <c r="M98" s="1906">
        <f t="shared" si="30"/>
        <v>0</v>
      </c>
      <c r="N98" s="1906">
        <f t="shared" si="30"/>
        <v>0</v>
      </c>
    </row>
    <row r="99" spans="1:14" ht="178.5">
      <c r="A99" s="3073" t="s">
        <v>3272</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1"/>
        <v>0</v>
      </c>
      <c r="E99" s="3077"/>
      <c r="F99" s="1671"/>
      <c r="G99" s="3067"/>
      <c r="H99" s="3111" t="str">
        <f t="shared" si="32"/>
        <v>——</v>
      </c>
      <c r="I99" s="3061">
        <v>0.06</v>
      </c>
      <c r="J99" s="1906">
        <f t="shared" si="28"/>
        <v>0</v>
      </c>
      <c r="K99" s="1906">
        <f t="shared" si="29"/>
        <v>0</v>
      </c>
      <c r="L99" s="1906">
        <v>0</v>
      </c>
      <c r="M99" s="1906">
        <f t="shared" si="30"/>
        <v>0</v>
      </c>
      <c r="N99" s="1906">
        <f t="shared" si="30"/>
        <v>0</v>
      </c>
    </row>
    <row r="100" spans="1:14" ht="25.5">
      <c r="A100" s="3073" t="s">
        <v>3273</v>
      </c>
      <c r="B100" s="3064" t="str">
        <f>估价对象房地状况!C22</f>
        <v>估价对象所在区域基础设施水平</v>
      </c>
      <c r="C100" s="1881"/>
      <c r="D100" s="2302">
        <f t="shared" si="31"/>
        <v>0</v>
      </c>
      <c r="E100" s="3077"/>
      <c r="F100" s="1671"/>
      <c r="G100" s="3067"/>
      <c r="H100" s="3111" t="str">
        <f t="shared" si="32"/>
        <v>——</v>
      </c>
      <c r="I100" s="3061">
        <v>0.09</v>
      </c>
      <c r="J100" s="1906">
        <f t="shared" si="28"/>
        <v>0</v>
      </c>
      <c r="K100" s="1906">
        <f t="shared" si="29"/>
        <v>0</v>
      </c>
      <c r="L100" s="1906">
        <v>0</v>
      </c>
      <c r="M100" s="1906">
        <f t="shared" si="30"/>
        <v>0</v>
      </c>
      <c r="N100" s="1906">
        <f t="shared" si="30"/>
        <v>0</v>
      </c>
    </row>
    <row r="101" spans="1:14" ht="51.75" thickBot="1">
      <c r="A101" s="3074" t="s">
        <v>3274</v>
      </c>
      <c r="B101" s="3081" t="str">
        <f>估价对象房地状况!C20</f>
        <v>估价对象周边有河南省体育场馆中心、郑州海洋馆等人文景观，东风渠水系等自然景观，综合评价环境状况较好。</v>
      </c>
      <c r="C101" s="1881"/>
      <c r="D101" s="2302">
        <f t="shared" si="31"/>
        <v>0</v>
      </c>
      <c r="E101" s="3078"/>
      <c r="F101" s="1671"/>
      <c r="G101" s="3067"/>
      <c r="H101" s="3111" t="str">
        <f t="shared" si="32"/>
        <v>——</v>
      </c>
      <c r="I101" s="3062">
        <v>7.0000000000000007E-2</v>
      </c>
      <c r="J101" s="1906">
        <f t="shared" si="28"/>
        <v>0</v>
      </c>
      <c r="K101" s="1906">
        <f t="shared" si="29"/>
        <v>0</v>
      </c>
      <c r="L101" s="1906">
        <v>0</v>
      </c>
      <c r="M101" s="1906">
        <f t="shared" si="30"/>
        <v>0</v>
      </c>
      <c r="N101" s="1906">
        <f t="shared" si="30"/>
        <v>0</v>
      </c>
    </row>
    <row r="103" spans="1:14">
      <c r="A103" s="3487" t="s">
        <v>3289</v>
      </c>
      <c r="B103" s="3487"/>
      <c r="C103" s="3487"/>
      <c r="D103" s="3487"/>
      <c r="E103" s="3487"/>
      <c r="F103" s="3487"/>
      <c r="G103" s="3487"/>
      <c r="H103" s="3487"/>
      <c r="I103" s="3487"/>
      <c r="J103" s="3487"/>
      <c r="K103" s="1663"/>
      <c r="L103" s="1663"/>
      <c r="M103" s="1663"/>
      <c r="N103" s="1663"/>
    </row>
    <row r="104" spans="1:14">
      <c r="A104" s="3488" t="s">
        <v>3290</v>
      </c>
      <c r="B104" s="3488" t="s">
        <v>3291</v>
      </c>
      <c r="C104" s="3083" t="s">
        <v>3292</v>
      </c>
      <c r="D104" s="3084"/>
      <c r="E104" s="3084"/>
      <c r="F104" s="3084"/>
      <c r="G104" s="3084"/>
      <c r="H104" s="3084"/>
      <c r="I104" s="3084"/>
      <c r="J104" s="3085"/>
      <c r="K104" s="3086"/>
      <c r="L104" s="3086"/>
      <c r="M104" s="3086"/>
      <c r="N104" s="3086"/>
    </row>
    <row r="105" spans="1:14">
      <c r="A105" s="3488"/>
      <c r="B105" s="3488"/>
      <c r="C105" s="3087" t="s">
        <v>3293</v>
      </c>
      <c r="D105" s="3087" t="s">
        <v>3294</v>
      </c>
      <c r="E105" s="3087" t="s">
        <v>3295</v>
      </c>
      <c r="F105" s="3087" t="s">
        <v>3296</v>
      </c>
      <c r="G105" s="3087" t="s">
        <v>3297</v>
      </c>
      <c r="H105" s="3087" t="s">
        <v>3298</v>
      </c>
      <c r="I105" s="3087" t="s">
        <v>3299</v>
      </c>
      <c r="J105" s="3087" t="s">
        <v>3300</v>
      </c>
      <c r="K105" s="3087" t="s">
        <v>3301</v>
      </c>
      <c r="L105" s="3087" t="s">
        <v>3302</v>
      </c>
      <c r="M105" s="3087" t="s">
        <v>3303</v>
      </c>
      <c r="N105" s="3087" t="s">
        <v>3304</v>
      </c>
    </row>
    <row r="106" spans="1:14">
      <c r="A106" s="3489"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90"/>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90"/>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90"/>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90"/>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90"/>
      <c r="B111" s="3087" t="s">
        <v>3263</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91"/>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92" t="s">
        <v>3306</v>
      </c>
      <c r="B113" s="3492"/>
      <c r="C113" s="3492"/>
      <c r="D113" s="3492"/>
      <c r="E113" s="3492"/>
      <c r="F113" s="3492"/>
      <c r="G113" s="3492"/>
      <c r="H113" s="3492"/>
      <c r="I113" s="3492"/>
      <c r="J113" s="3492"/>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0.94899999999999995</v>
      </c>
      <c r="E116" s="162" t="s">
        <v>3309</v>
      </c>
      <c r="F116" s="3094" t="str">
        <f>E2</f>
        <v>商业</v>
      </c>
      <c r="G116" s="162" t="s">
        <v>3310</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3323</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6">I118</f>
        <v>0.84860000000000002</v>
      </c>
      <c r="K118" s="3082">
        <f t="shared" si="36"/>
        <v>0.84860000000000002</v>
      </c>
      <c r="L118" s="3082">
        <f t="shared" si="36"/>
        <v>0.84860000000000002</v>
      </c>
      <c r="M118" s="3102">
        <f t="shared" si="36"/>
        <v>0.84860000000000002</v>
      </c>
      <c r="N118" s="3090"/>
    </row>
    <row r="119" spans="1:14">
      <c r="A119" s="3050" t="s">
        <v>3324</v>
      </c>
      <c r="B119" s="3082">
        <f>ROUND(0.993-0.0112*B116,4)</f>
        <v>0.99299999999999999</v>
      </c>
      <c r="C119" s="3082">
        <f>B119</f>
        <v>0.99299999999999999</v>
      </c>
      <c r="D119" s="3082">
        <f>ROUND(0.9415-0.0142*B116,4)</f>
        <v>0.9415</v>
      </c>
      <c r="E119" s="3082">
        <f t="shared" ref="E119:H120" si="37">D119</f>
        <v>0.9415</v>
      </c>
      <c r="F119" s="3082">
        <f t="shared" si="37"/>
        <v>0.9415</v>
      </c>
      <c r="G119" s="3082">
        <f t="shared" si="37"/>
        <v>0.9415</v>
      </c>
      <c r="H119" s="3082">
        <f t="shared" si="37"/>
        <v>0.9415</v>
      </c>
      <c r="I119" s="3082">
        <f>ROUND(0.838-0.0182*B116,4)</f>
        <v>0.83799999999999997</v>
      </c>
      <c r="J119" s="3082">
        <f t="shared" si="36"/>
        <v>0.83799999999999997</v>
      </c>
      <c r="K119" s="3082">
        <f t="shared" si="36"/>
        <v>0.83799999999999997</v>
      </c>
      <c r="L119" s="3082">
        <f t="shared" si="36"/>
        <v>0.83799999999999997</v>
      </c>
      <c r="M119" s="3102">
        <f t="shared" si="36"/>
        <v>0.83799999999999997</v>
      </c>
      <c r="N119" s="3090"/>
    </row>
    <row r="120" spans="1:14">
      <c r="A120" s="3050" t="s">
        <v>3325</v>
      </c>
      <c r="B120" s="3082">
        <f>ROUND(0.9448-0.0115*B116,4)</f>
        <v>0.94479999999999997</v>
      </c>
      <c r="C120" s="3082">
        <f>B120</f>
        <v>0.94479999999999997</v>
      </c>
      <c r="D120" s="3082">
        <f>ROUND(0.937-0.0145*B116,4)</f>
        <v>0.93700000000000006</v>
      </c>
      <c r="E120" s="3082">
        <f t="shared" si="37"/>
        <v>0.93700000000000006</v>
      </c>
      <c r="F120" s="3082">
        <f t="shared" si="37"/>
        <v>0.93700000000000006</v>
      </c>
      <c r="G120" s="3082">
        <f t="shared" si="37"/>
        <v>0.93700000000000006</v>
      </c>
      <c r="H120" s="3082">
        <f t="shared" si="37"/>
        <v>0.93700000000000006</v>
      </c>
      <c r="I120" s="3082">
        <f>ROUND(0.7965-0.0185*B116,4)</f>
        <v>0.79649999999999999</v>
      </c>
      <c r="J120" s="3082">
        <f t="shared" si="36"/>
        <v>0.79649999999999999</v>
      </c>
      <c r="K120" s="3082">
        <f t="shared" si="36"/>
        <v>0.79649999999999999</v>
      </c>
      <c r="L120" s="3082">
        <f t="shared" si="36"/>
        <v>0.79649999999999999</v>
      </c>
      <c r="M120" s="3102">
        <f t="shared" si="36"/>
        <v>0.79649999999999999</v>
      </c>
      <c r="N120" s="3090"/>
    </row>
    <row r="121" spans="1:14" ht="13.5" thickBot="1">
      <c r="A121" s="3103" t="s">
        <v>3326</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6"/>
        <v>0.59050000000000002</v>
      </c>
      <c r="K121" s="3104">
        <f t="shared" si="36"/>
        <v>0.59050000000000002</v>
      </c>
      <c r="L121" s="3104">
        <f t="shared" si="36"/>
        <v>0.59050000000000002</v>
      </c>
      <c r="M121" s="3105">
        <f t="shared" si="36"/>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8">D122</f>
        <v>0.89549999999999996</v>
      </c>
      <c r="F122" s="3082">
        <f t="shared" si="38"/>
        <v>0.89549999999999996</v>
      </c>
      <c r="G122" s="3082">
        <f t="shared" si="38"/>
        <v>0.89549999999999996</v>
      </c>
      <c r="H122" s="3082">
        <f t="shared" si="38"/>
        <v>0.89549999999999996</v>
      </c>
      <c r="I122" s="3082">
        <f>ROUND(0.7632-0.0166*B116,4)</f>
        <v>0.76319999999999999</v>
      </c>
      <c r="J122" s="3082">
        <f t="shared" si="36"/>
        <v>0.76319999999999999</v>
      </c>
      <c r="K122" s="3082">
        <f t="shared" si="36"/>
        <v>0.76319999999999999</v>
      </c>
      <c r="L122" s="3082">
        <f t="shared" si="36"/>
        <v>0.76319999999999999</v>
      </c>
      <c r="M122" s="3102">
        <f t="shared" si="36"/>
        <v>0.76319999999999999</v>
      </c>
      <c r="N122" s="3090"/>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04" t="s">
        <v>2603</v>
      </c>
      <c r="B20" s="3497" t="s">
        <v>2624</v>
      </c>
      <c r="C20" s="3159" t="s">
        <v>2435</v>
      </c>
      <c r="D20" s="3159"/>
      <c r="E20" s="2837">
        <v>1</v>
      </c>
      <c r="F20" s="2838" t="s">
        <v>2436</v>
      </c>
      <c r="G20" s="2838"/>
    </row>
    <row r="21" spans="1:13" ht="19.5" customHeight="1">
      <c r="A21" s="3505"/>
      <c r="B21" s="3493"/>
      <c r="C21" s="2850" t="s">
        <v>2437</v>
      </c>
      <c r="D21" s="2850"/>
      <c r="E21" s="2841">
        <v>1</v>
      </c>
      <c r="F21" s="2838" t="s">
        <v>2438</v>
      </c>
      <c r="G21" s="2838"/>
    </row>
    <row r="22" spans="1:13" ht="19.5" customHeight="1">
      <c r="A22" s="3505"/>
      <c r="B22" s="3493"/>
      <c r="C22" s="2850" t="s">
        <v>2439</v>
      </c>
      <c r="D22" s="2850"/>
      <c r="E22" s="2841">
        <v>0.9</v>
      </c>
      <c r="F22" s="2838" t="s">
        <v>2440</v>
      </c>
      <c r="G22" s="2838"/>
    </row>
    <row r="23" spans="1:13" ht="19.5" customHeight="1">
      <c r="A23" s="3505"/>
      <c r="B23" s="3493"/>
      <c r="C23" s="2850" t="s">
        <v>2441</v>
      </c>
      <c r="D23" s="2850"/>
      <c r="E23" s="2841">
        <v>0.9</v>
      </c>
      <c r="F23" s="2838" t="s">
        <v>2442</v>
      </c>
      <c r="G23" s="2838"/>
    </row>
    <row r="24" spans="1:13" ht="19.5" customHeight="1">
      <c r="A24" s="3505"/>
      <c r="B24" s="3493"/>
      <c r="C24" s="2850" t="s">
        <v>2443</v>
      </c>
      <c r="D24" s="2850"/>
      <c r="E24" s="2841">
        <v>0.8</v>
      </c>
      <c r="F24" s="2838" t="s">
        <v>2444</v>
      </c>
      <c r="G24" s="2838"/>
    </row>
    <row r="25" spans="1:13" ht="19.5" customHeight="1">
      <c r="A25" s="3505"/>
      <c r="B25" s="3493"/>
      <c r="C25" s="2850" t="s">
        <v>2445</v>
      </c>
      <c r="D25" s="2850"/>
      <c r="E25" s="2841">
        <v>0.8</v>
      </c>
      <c r="F25" s="2838"/>
      <c r="G25" s="2838"/>
    </row>
    <row r="26" spans="1:13" ht="19.5" customHeight="1">
      <c r="A26" s="3505"/>
      <c r="B26" s="3493"/>
      <c r="C26" s="2850" t="s">
        <v>3407</v>
      </c>
      <c r="D26" s="2850"/>
      <c r="E26" s="2841">
        <v>0.43</v>
      </c>
      <c r="F26" s="2838"/>
      <c r="G26" s="2838"/>
    </row>
    <row r="27" spans="1:13" ht="19.5" customHeight="1" thickBot="1">
      <c r="A27" s="3506"/>
      <c r="B27" s="3498"/>
      <c r="C27" s="3155" t="s">
        <v>3408</v>
      </c>
      <c r="D27" s="3155"/>
      <c r="E27" s="2844">
        <f>E26*0.9</f>
        <v>0.38700000000000001</v>
      </c>
      <c r="F27" s="2838" t="s">
        <v>2446</v>
      </c>
      <c r="G27" s="2838"/>
    </row>
    <row r="28" spans="1:13" ht="19.5" customHeight="1" thickBot="1">
      <c r="A28" s="3154" t="s">
        <v>2625</v>
      </c>
      <c r="B28" s="3153" t="s">
        <v>2624</v>
      </c>
      <c r="C28" s="3156" t="s">
        <v>2626</v>
      </c>
      <c r="D28" s="3157"/>
      <c r="E28" s="3158">
        <v>1</v>
      </c>
      <c r="F28" s="2838" t="s">
        <v>2447</v>
      </c>
      <c r="G28" s="2838"/>
    </row>
    <row r="29" spans="1:13" ht="19.5" customHeight="1">
      <c r="A29" s="3499" t="s">
        <v>2627</v>
      </c>
      <c r="B29" s="3502" t="s">
        <v>2608</v>
      </c>
      <c r="C29" s="2835" t="s">
        <v>2448</v>
      </c>
      <c r="D29" s="2836"/>
      <c r="E29" s="2837">
        <v>1</v>
      </c>
      <c r="F29" s="2838" t="s">
        <v>2449</v>
      </c>
      <c r="G29" s="2838"/>
    </row>
    <row r="30" spans="1:13" ht="19.5" customHeight="1">
      <c r="A30" s="3500"/>
      <c r="B30" s="3496"/>
      <c r="C30" s="2839" t="s">
        <v>2450</v>
      </c>
      <c r="D30" s="2840"/>
      <c r="E30" s="2841">
        <v>1</v>
      </c>
      <c r="F30" s="2838" t="s">
        <v>2451</v>
      </c>
      <c r="G30" s="2838"/>
    </row>
    <row r="31" spans="1:13" ht="19.5" customHeight="1">
      <c r="A31" s="3500"/>
      <c r="B31" s="3496"/>
      <c r="C31" s="2839" t="s">
        <v>2452</v>
      </c>
      <c r="D31" s="2840"/>
      <c r="E31" s="2841">
        <v>0.8</v>
      </c>
      <c r="F31" s="2838" t="s">
        <v>2453</v>
      </c>
      <c r="G31" s="2838"/>
    </row>
    <row r="32" spans="1:13" ht="19.5" customHeight="1">
      <c r="A32" s="3500"/>
      <c r="B32" s="3496"/>
      <c r="C32" s="2839" t="s">
        <v>2454</v>
      </c>
      <c r="D32" s="2840"/>
      <c r="E32" s="2841">
        <v>0.8</v>
      </c>
      <c r="F32" s="2838" t="s">
        <v>2455</v>
      </c>
      <c r="G32" s="2838"/>
    </row>
    <row r="33" spans="1:7" ht="19.5" customHeight="1">
      <c r="A33" s="3500"/>
      <c r="B33" s="3496"/>
      <c r="C33" s="2839" t="s">
        <v>2456</v>
      </c>
      <c r="D33" s="2840"/>
      <c r="E33" s="2841">
        <v>0.8</v>
      </c>
      <c r="F33" s="2838" t="s">
        <v>2457</v>
      </c>
      <c r="G33" s="2838"/>
    </row>
    <row r="34" spans="1:7" ht="19.5" customHeight="1">
      <c r="A34" s="3500"/>
      <c r="B34" s="3496"/>
      <c r="C34" s="2839" t="s">
        <v>2458</v>
      </c>
      <c r="D34" s="2840"/>
      <c r="E34" s="2841">
        <v>0.7</v>
      </c>
      <c r="F34" s="2838" t="s">
        <v>2459</v>
      </c>
      <c r="G34" s="2838"/>
    </row>
    <row r="35" spans="1:7" ht="19.5" customHeight="1">
      <c r="A35" s="3500"/>
      <c r="B35" s="3496"/>
      <c r="C35" s="2839" t="s">
        <v>2460</v>
      </c>
      <c r="D35" s="2840"/>
      <c r="E35" s="2841">
        <v>0.8</v>
      </c>
      <c r="F35" s="2838" t="s">
        <v>2461</v>
      </c>
      <c r="G35" s="2838"/>
    </row>
    <row r="36" spans="1:7" ht="19.5" customHeight="1">
      <c r="A36" s="3500"/>
      <c r="B36" s="3496"/>
      <c r="C36" s="2839" t="s">
        <v>2462</v>
      </c>
      <c r="D36" s="2840"/>
      <c r="E36" s="2841">
        <v>0.6</v>
      </c>
      <c r="F36" s="2838" t="s">
        <v>2463</v>
      </c>
      <c r="G36" s="2838"/>
    </row>
    <row r="37" spans="1:7" ht="19.5" customHeight="1">
      <c r="A37" s="3500"/>
      <c r="B37" s="3496"/>
      <c r="C37" s="2839" t="s">
        <v>2464</v>
      </c>
      <c r="D37" s="2840"/>
      <c r="E37" s="2841">
        <v>0.2</v>
      </c>
      <c r="F37" s="2838" t="s">
        <v>2465</v>
      </c>
      <c r="G37" s="2838"/>
    </row>
    <row r="38" spans="1:7" ht="19.5" customHeight="1">
      <c r="A38" s="3500"/>
      <c r="B38" s="3496"/>
      <c r="C38" s="2839" t="s">
        <v>2466</v>
      </c>
      <c r="D38" s="2840"/>
      <c r="E38" s="2841">
        <v>0.2</v>
      </c>
      <c r="F38" s="2838" t="s">
        <v>2467</v>
      </c>
      <c r="G38" s="2838"/>
    </row>
    <row r="39" spans="1:7" ht="19.5" customHeight="1">
      <c r="A39" s="3500"/>
      <c r="B39" s="3494" t="s">
        <v>2628</v>
      </c>
      <c r="C39" s="2839" t="s">
        <v>2468</v>
      </c>
      <c r="D39" s="2840"/>
      <c r="E39" s="2841">
        <v>0.6</v>
      </c>
      <c r="F39" s="2838" t="s">
        <v>2469</v>
      </c>
      <c r="G39" s="2838"/>
    </row>
    <row r="40" spans="1:7" ht="19.5" customHeight="1">
      <c r="A40" s="3500"/>
      <c r="B40" s="3496"/>
      <c r="C40" s="2839" t="s">
        <v>2470</v>
      </c>
      <c r="D40" s="2840"/>
      <c r="E40" s="2841">
        <v>0.6</v>
      </c>
      <c r="F40" s="2838" t="s">
        <v>2471</v>
      </c>
      <c r="G40" s="2838"/>
    </row>
    <row r="41" spans="1:7" ht="19.5" customHeight="1" thickBot="1">
      <c r="A41" s="3501"/>
      <c r="B41" s="3503"/>
      <c r="C41" s="2842" t="s">
        <v>2472</v>
      </c>
      <c r="D41" s="2843"/>
      <c r="E41" s="2844">
        <v>0.6</v>
      </c>
      <c r="F41" s="2838" t="s">
        <v>2473</v>
      </c>
      <c r="G41" s="2838"/>
    </row>
    <row r="42" spans="1:7" ht="19.5" customHeight="1" thickBot="1">
      <c r="A42" s="2845" t="s">
        <v>2605</v>
      </c>
      <c r="B42" s="2846" t="s">
        <v>2605</v>
      </c>
      <c r="C42" s="2847" t="s">
        <v>2629</v>
      </c>
      <c r="D42" s="2848"/>
      <c r="E42" s="2849">
        <v>1</v>
      </c>
      <c r="F42" s="2838" t="s">
        <v>2474</v>
      </c>
      <c r="G42" s="2838"/>
    </row>
    <row r="43" spans="1:7" ht="19.5" customHeight="1">
      <c r="A43" s="3504" t="s">
        <v>2606</v>
      </c>
      <c r="B43" s="3502" t="s">
        <v>2630</v>
      </c>
      <c r="C43" s="2835" t="s">
        <v>2475</v>
      </c>
      <c r="D43" s="2836"/>
      <c r="E43" s="2837">
        <v>1</v>
      </c>
      <c r="F43" s="2838" t="s">
        <v>2476</v>
      </c>
      <c r="G43" s="2838"/>
    </row>
    <row r="44" spans="1:7" ht="19.5" customHeight="1">
      <c r="A44" s="3505"/>
      <c r="B44" s="3496"/>
      <c r="C44" s="2839" t="s">
        <v>2477</v>
      </c>
      <c r="D44" s="2840"/>
      <c r="E44" s="2841">
        <v>1</v>
      </c>
      <c r="F44" s="2838" t="s">
        <v>2478</v>
      </c>
      <c r="G44" s="2838"/>
    </row>
    <row r="45" spans="1:7" ht="19.5" customHeight="1">
      <c r="A45" s="3505"/>
      <c r="B45" s="3495"/>
      <c r="C45" s="2839" t="s">
        <v>2479</v>
      </c>
      <c r="D45" s="2840"/>
      <c r="E45" s="2841">
        <v>1.5</v>
      </c>
      <c r="F45" s="2838" t="s">
        <v>2480</v>
      </c>
      <c r="G45" s="2838"/>
    </row>
    <row r="46" spans="1:7" ht="19.5" customHeight="1">
      <c r="A46" s="3505"/>
      <c r="B46" s="2850" t="s">
        <v>2631</v>
      </c>
      <c r="C46" s="2839" t="s">
        <v>2632</v>
      </c>
      <c r="D46" s="2840"/>
      <c r="E46" s="2841">
        <v>2</v>
      </c>
      <c r="F46" s="2838" t="s">
        <v>2481</v>
      </c>
      <c r="G46" s="2838"/>
    </row>
    <row r="47" spans="1:7" ht="19.5" customHeight="1">
      <c r="A47" s="3505"/>
      <c r="B47" s="3494" t="s">
        <v>2633</v>
      </c>
      <c r="C47" s="2839" t="s">
        <v>2482</v>
      </c>
      <c r="D47" s="2840"/>
      <c r="E47" s="2841">
        <v>1</v>
      </c>
      <c r="F47" s="2838" t="s">
        <v>2483</v>
      </c>
      <c r="G47" s="2838"/>
    </row>
    <row r="48" spans="1:7" ht="19.5" customHeight="1">
      <c r="A48" s="3505"/>
      <c r="B48" s="3496"/>
      <c r="C48" s="2839" t="s">
        <v>2484</v>
      </c>
      <c r="D48" s="2840"/>
      <c r="E48" s="2841">
        <v>1</v>
      </c>
      <c r="F48" s="2838" t="s">
        <v>2485</v>
      </c>
      <c r="G48" s="2838"/>
    </row>
    <row r="49" spans="1:7" ht="19.5" customHeight="1">
      <c r="A49" s="3505"/>
      <c r="B49" s="3496"/>
      <c r="C49" s="2839" t="s">
        <v>2486</v>
      </c>
      <c r="D49" s="2840"/>
      <c r="E49" s="2841">
        <v>1</v>
      </c>
      <c r="F49" s="2838" t="s">
        <v>2487</v>
      </c>
      <c r="G49" s="2838"/>
    </row>
    <row r="50" spans="1:7" ht="19.5" customHeight="1">
      <c r="A50" s="3505"/>
      <c r="B50" s="3496"/>
      <c r="C50" s="2839" t="s">
        <v>2488</v>
      </c>
      <c r="D50" s="2840"/>
      <c r="E50" s="2841">
        <v>1</v>
      </c>
      <c r="F50" s="2838" t="s">
        <v>2489</v>
      </c>
      <c r="G50" s="2838"/>
    </row>
    <row r="51" spans="1:7" ht="19.5" customHeight="1">
      <c r="A51" s="3505"/>
      <c r="B51" s="3496"/>
      <c r="C51" s="2839" t="s">
        <v>2490</v>
      </c>
      <c r="D51" s="2840"/>
      <c r="E51" s="2841">
        <v>1</v>
      </c>
      <c r="F51" s="2838" t="s">
        <v>2491</v>
      </c>
      <c r="G51" s="2838"/>
    </row>
    <row r="52" spans="1:7" ht="19.5" customHeight="1">
      <c r="A52" s="3505"/>
      <c r="B52" s="3496"/>
      <c r="C52" s="2839" t="s">
        <v>2492</v>
      </c>
      <c r="D52" s="2840"/>
      <c r="E52" s="2841">
        <v>1</v>
      </c>
      <c r="F52" s="2838" t="s">
        <v>2493</v>
      </c>
      <c r="G52" s="2838"/>
    </row>
    <row r="53" spans="1:7" ht="19.5" customHeight="1" thickBot="1">
      <c r="A53" s="3506"/>
      <c r="B53" s="3503"/>
      <c r="C53" s="2842" t="s">
        <v>2494</v>
      </c>
      <c r="D53" s="2843"/>
      <c r="E53" s="2844">
        <v>1</v>
      </c>
      <c r="F53" s="2838" t="s">
        <v>2495</v>
      </c>
      <c r="G53" s="2838"/>
    </row>
    <row r="54" spans="1:7" ht="19.5" customHeight="1">
      <c r="A54" s="2851"/>
      <c r="B54" s="2851"/>
      <c r="C54" s="2851"/>
      <c r="D54" s="2851"/>
      <c r="E54" s="2851"/>
      <c r="F54" s="2851"/>
      <c r="G54" s="2851"/>
    </row>
    <row r="56" spans="1:7" ht="19.5" customHeight="1">
      <c r="A56" s="2852"/>
      <c r="B56" s="2824" t="s">
        <v>2634</v>
      </c>
      <c r="C56" s="2824" t="s">
        <v>2634</v>
      </c>
      <c r="D56" s="2824" t="s">
        <v>2634</v>
      </c>
      <c r="E56" s="2827" t="s">
        <v>2634</v>
      </c>
      <c r="F56" s="2827" t="s">
        <v>2635</v>
      </c>
      <c r="G56" s="2827" t="s">
        <v>2636</v>
      </c>
    </row>
    <row r="57" spans="1:7" ht="19.5" customHeight="1">
      <c r="A57" s="2853"/>
      <c r="B57" s="2827" t="s">
        <v>2603</v>
      </c>
      <c r="C57" s="2827" t="s">
        <v>2603</v>
      </c>
      <c r="D57" s="2827" t="s">
        <v>2603</v>
      </c>
      <c r="E57" s="2824" t="s">
        <v>2604</v>
      </c>
      <c r="F57" s="2824" t="s">
        <v>2606</v>
      </c>
      <c r="G57" s="2824" t="s">
        <v>2637</v>
      </c>
    </row>
    <row r="58" spans="1:7" ht="19.5" customHeight="1">
      <c r="A58" s="2854"/>
      <c r="B58" s="2824">
        <v>1</v>
      </c>
      <c r="C58" s="2824">
        <v>2</v>
      </c>
      <c r="D58" s="2824">
        <v>3</v>
      </c>
      <c r="E58" s="2855" t="s">
        <v>2638</v>
      </c>
      <c r="F58" s="2855" t="s">
        <v>2638</v>
      </c>
      <c r="G58" s="2855" t="s">
        <v>2638</v>
      </c>
    </row>
    <row r="59" spans="1:7" ht="19.5" customHeight="1">
      <c r="A59" s="2856" t="s">
        <v>2591</v>
      </c>
      <c r="B59" s="2824">
        <v>0.7</v>
      </c>
      <c r="C59" s="2824">
        <v>0.4</v>
      </c>
      <c r="D59" s="2824">
        <v>0.3</v>
      </c>
      <c r="E59" s="2855">
        <v>0.3</v>
      </c>
      <c r="F59" s="2824">
        <v>0.3</v>
      </c>
      <c r="G59" s="2824">
        <v>0.2</v>
      </c>
    </row>
    <row r="60" spans="1:7" ht="19.5" customHeight="1">
      <c r="A60" s="2856" t="s">
        <v>2592</v>
      </c>
      <c r="B60" s="2824">
        <v>0.7</v>
      </c>
      <c r="C60" s="2824">
        <v>0.4</v>
      </c>
      <c r="D60" s="2824">
        <v>0.3</v>
      </c>
      <c r="E60" s="2824">
        <v>0.3</v>
      </c>
      <c r="F60" s="2824">
        <v>0.3</v>
      </c>
      <c r="G60" s="2824">
        <v>0.2</v>
      </c>
    </row>
    <row r="61" spans="1:7" ht="19.5" customHeight="1">
      <c r="A61" s="2856" t="s">
        <v>2593</v>
      </c>
      <c r="B61" s="2824">
        <v>0.6</v>
      </c>
      <c r="C61" s="2824">
        <v>0.3</v>
      </c>
      <c r="D61" s="2824">
        <v>0.25</v>
      </c>
      <c r="E61" s="2824">
        <v>0.25</v>
      </c>
      <c r="F61" s="2824">
        <v>0.25</v>
      </c>
      <c r="G61" s="2824">
        <v>0.15</v>
      </c>
    </row>
    <row r="62" spans="1:7" ht="19.5" customHeight="1">
      <c r="A62" s="2856" t="s">
        <v>2594</v>
      </c>
      <c r="B62" s="2824">
        <v>0.6</v>
      </c>
      <c r="C62" s="2824">
        <v>0.3</v>
      </c>
      <c r="D62" s="2824">
        <v>0.25</v>
      </c>
      <c r="E62" s="2824">
        <v>0.25</v>
      </c>
      <c r="F62" s="2824">
        <v>0.25</v>
      </c>
      <c r="G62" s="2824">
        <v>0.15</v>
      </c>
    </row>
    <row r="63" spans="1:7" ht="19.5" customHeight="1">
      <c r="A63" s="2856" t="s">
        <v>2595</v>
      </c>
      <c r="B63" s="2824">
        <v>0.6</v>
      </c>
      <c r="C63" s="2824">
        <v>0.3</v>
      </c>
      <c r="D63" s="2824">
        <v>0.25</v>
      </c>
      <c r="E63" s="2824">
        <v>0.25</v>
      </c>
      <c r="F63" s="2824">
        <v>0.25</v>
      </c>
      <c r="G63" s="2824">
        <v>0.15</v>
      </c>
    </row>
    <row r="64" spans="1:7" ht="19.5" customHeight="1">
      <c r="A64" s="2856" t="s">
        <v>2596</v>
      </c>
      <c r="B64" s="2824">
        <v>0.6</v>
      </c>
      <c r="C64" s="2824">
        <v>0.3</v>
      </c>
      <c r="D64" s="2824">
        <v>0.25</v>
      </c>
      <c r="E64" s="2824">
        <v>0.25</v>
      </c>
      <c r="F64" s="2824">
        <v>0.25</v>
      </c>
      <c r="G64" s="2824">
        <v>0.15</v>
      </c>
    </row>
    <row r="65" spans="1:7" ht="19.5" customHeight="1">
      <c r="A65" s="2856" t="s">
        <v>2597</v>
      </c>
      <c r="B65" s="2824">
        <v>0.6</v>
      </c>
      <c r="C65" s="2824">
        <v>0.3</v>
      </c>
      <c r="D65" s="2824">
        <v>0.25</v>
      </c>
      <c r="E65" s="2824">
        <v>0.25</v>
      </c>
      <c r="F65" s="2824">
        <v>0.25</v>
      </c>
      <c r="G65" s="2824">
        <v>0.15</v>
      </c>
    </row>
    <row r="66" spans="1:7" ht="19.5" customHeight="1">
      <c r="A66" s="2856" t="s">
        <v>2598</v>
      </c>
      <c r="B66" s="2824">
        <v>0.5</v>
      </c>
      <c r="C66" s="2824">
        <v>0.2</v>
      </c>
      <c r="D66" s="2824">
        <v>0.2</v>
      </c>
      <c r="E66" s="2824">
        <v>0.2</v>
      </c>
      <c r="F66" s="2824">
        <v>0.2</v>
      </c>
      <c r="G66" s="2824">
        <v>0.1</v>
      </c>
    </row>
    <row r="67" spans="1:7" ht="19.5" customHeight="1">
      <c r="A67" s="2856" t="s">
        <v>2599</v>
      </c>
      <c r="B67" s="2824">
        <v>0.5</v>
      </c>
      <c r="C67" s="2824">
        <v>0.2</v>
      </c>
      <c r="D67" s="2824">
        <v>0.2</v>
      </c>
      <c r="E67" s="2824">
        <v>0.2</v>
      </c>
      <c r="F67" s="2824">
        <v>0.2</v>
      </c>
      <c r="G67" s="2824">
        <v>0.1</v>
      </c>
    </row>
    <row r="68" spans="1:7" ht="19.5" customHeight="1">
      <c r="A68" s="2856" t="s">
        <v>2600</v>
      </c>
      <c r="B68" s="2824">
        <v>0.5</v>
      </c>
      <c r="C68" s="2824">
        <v>0.2</v>
      </c>
      <c r="D68" s="2824">
        <v>0.2</v>
      </c>
      <c r="E68" s="2824">
        <v>0.2</v>
      </c>
      <c r="F68" s="2824">
        <v>0.2</v>
      </c>
      <c r="G68" s="2824">
        <v>0.1</v>
      </c>
    </row>
    <row r="69" spans="1:7" ht="19.5" customHeight="1">
      <c r="A69" s="2856" t="s">
        <v>2601</v>
      </c>
      <c r="B69" s="2824">
        <v>0.5</v>
      </c>
      <c r="C69" s="2824">
        <v>0.2</v>
      </c>
      <c r="D69" s="2824">
        <v>0.2</v>
      </c>
      <c r="E69" s="2824">
        <v>0.2</v>
      </c>
      <c r="F69" s="2824">
        <v>0.2</v>
      </c>
      <c r="G69" s="2824">
        <v>0.1</v>
      </c>
    </row>
    <row r="70" spans="1:7" ht="19.5" customHeight="1">
      <c r="A70" s="2856" t="s">
        <v>2602</v>
      </c>
      <c r="B70" s="2824">
        <v>0.5</v>
      </c>
      <c r="C70" s="2824">
        <v>0.2</v>
      </c>
      <c r="D70" s="2824">
        <v>0.2</v>
      </c>
      <c r="E70" s="2824">
        <v>0.2</v>
      </c>
      <c r="F70" s="2824">
        <v>0.2</v>
      </c>
      <c r="G70" s="2824">
        <v>0.1</v>
      </c>
    </row>
    <row r="72" spans="1:7" ht="19.5" customHeight="1">
      <c r="A72" s="2838"/>
      <c r="B72" s="2857"/>
      <c r="C72" s="2857"/>
      <c r="D72" s="2857" t="s">
        <v>2639</v>
      </c>
      <c r="E72" s="2857"/>
      <c r="F72" s="2857"/>
    </row>
    <row r="73" spans="1:7" ht="19.5" customHeight="1">
      <c r="A73" s="2850" t="s">
        <v>2640</v>
      </c>
      <c r="B73" s="2850" t="s">
        <v>2641</v>
      </c>
      <c r="C73" s="2850" t="s">
        <v>2642</v>
      </c>
      <c r="D73" s="2850" t="s">
        <v>2643</v>
      </c>
      <c r="E73" s="2850" t="s">
        <v>2644</v>
      </c>
      <c r="F73" s="2850" t="s">
        <v>2645</v>
      </c>
    </row>
    <row r="74" spans="1:7" ht="13.5">
      <c r="A74" s="2850"/>
      <c r="B74" s="2850"/>
      <c r="C74" s="2850" t="s">
        <v>2646</v>
      </c>
      <c r="D74" s="2850"/>
      <c r="E74" s="2850" t="s">
        <v>2617</v>
      </c>
      <c r="F74" s="2850" t="s">
        <v>2617</v>
      </c>
    </row>
    <row r="75" spans="1:7" ht="13.5">
      <c r="A75" s="2850">
        <v>1</v>
      </c>
      <c r="B75" s="3494" t="s">
        <v>2647</v>
      </c>
      <c r="C75" s="2824" t="s">
        <v>2648</v>
      </c>
      <c r="D75" s="2824" t="s">
        <v>2649</v>
      </c>
      <c r="E75" s="2850">
        <v>0.2</v>
      </c>
      <c r="F75" s="2850">
        <v>25</v>
      </c>
    </row>
    <row r="76" spans="1:7" ht="24">
      <c r="A76" s="2850">
        <v>2</v>
      </c>
      <c r="B76" s="3496"/>
      <c r="C76" s="2824" t="s">
        <v>2650</v>
      </c>
      <c r="D76" s="2824" t="s">
        <v>2651</v>
      </c>
      <c r="E76" s="2850">
        <v>0.2</v>
      </c>
      <c r="F76" s="2850">
        <v>25</v>
      </c>
    </row>
    <row r="77" spans="1:7" ht="24">
      <c r="A77" s="2850">
        <v>3</v>
      </c>
      <c r="B77" s="3496"/>
      <c r="C77" s="2824" t="s">
        <v>2652</v>
      </c>
      <c r="D77" s="2824" t="s">
        <v>2653</v>
      </c>
      <c r="E77" s="2850">
        <v>0.2</v>
      </c>
      <c r="F77" s="2850">
        <v>25</v>
      </c>
    </row>
    <row r="78" spans="1:7" ht="13.5">
      <c r="A78" s="2850">
        <v>4</v>
      </c>
      <c r="B78" s="3496"/>
      <c r="C78" s="2824" t="s">
        <v>2654</v>
      </c>
      <c r="D78" s="2824" t="s">
        <v>2655</v>
      </c>
      <c r="E78" s="2850">
        <v>0.15</v>
      </c>
      <c r="F78" s="2850">
        <v>20</v>
      </c>
    </row>
    <row r="79" spans="1:7" ht="24">
      <c r="A79" s="2850">
        <v>5</v>
      </c>
      <c r="B79" s="3496"/>
      <c r="C79" s="2824" t="s">
        <v>2656</v>
      </c>
      <c r="D79" s="2824" t="s">
        <v>2657</v>
      </c>
      <c r="E79" s="2850">
        <v>0.15</v>
      </c>
      <c r="F79" s="2850">
        <v>20</v>
      </c>
    </row>
    <row r="80" spans="1:7" ht="24">
      <c r="A80" s="2850">
        <v>6</v>
      </c>
      <c r="B80" s="3496"/>
      <c r="C80" s="2824" t="s">
        <v>2658</v>
      </c>
      <c r="D80" s="2824" t="s">
        <v>2659</v>
      </c>
      <c r="E80" s="2850">
        <v>0.15</v>
      </c>
      <c r="F80" s="2850">
        <v>20</v>
      </c>
    </row>
    <row r="81" spans="1:6" ht="24">
      <c r="A81" s="2850">
        <v>7</v>
      </c>
      <c r="B81" s="3496"/>
      <c r="C81" s="2824" t="s">
        <v>2660</v>
      </c>
      <c r="D81" s="2824" t="s">
        <v>2661</v>
      </c>
      <c r="E81" s="2850">
        <v>0.15</v>
      </c>
      <c r="F81" s="2850">
        <v>20</v>
      </c>
    </row>
    <row r="82" spans="1:6" ht="24">
      <c r="A82" s="2850">
        <v>8</v>
      </c>
      <c r="B82" s="3496"/>
      <c r="C82" s="2824" t="s">
        <v>2662</v>
      </c>
      <c r="D82" s="2824" t="s">
        <v>2663</v>
      </c>
      <c r="E82" s="2850">
        <v>0.1</v>
      </c>
      <c r="F82" s="2850">
        <v>15</v>
      </c>
    </row>
    <row r="83" spans="1:6" ht="24">
      <c r="A83" s="2850">
        <v>9</v>
      </c>
      <c r="B83" s="3496"/>
      <c r="C83" s="2824" t="s">
        <v>2664</v>
      </c>
      <c r="D83" s="2824" t="s">
        <v>2665</v>
      </c>
      <c r="E83" s="2850">
        <v>0.1</v>
      </c>
      <c r="F83" s="2850">
        <v>15</v>
      </c>
    </row>
    <row r="84" spans="1:6" ht="24">
      <c r="A84" s="2850">
        <v>10</v>
      </c>
      <c r="B84" s="3496"/>
      <c r="C84" s="2824" t="s">
        <v>2666</v>
      </c>
      <c r="D84" s="2824" t="s">
        <v>2667</v>
      </c>
      <c r="E84" s="2850">
        <v>0.1</v>
      </c>
      <c r="F84" s="2850">
        <v>15</v>
      </c>
    </row>
    <row r="85" spans="1:6" ht="24">
      <c r="A85" s="2850">
        <v>11</v>
      </c>
      <c r="B85" s="3496"/>
      <c r="C85" s="2824" t="s">
        <v>2668</v>
      </c>
      <c r="D85" s="2824" t="s">
        <v>2669</v>
      </c>
      <c r="E85" s="2850">
        <v>0.1</v>
      </c>
      <c r="F85" s="2850">
        <v>15</v>
      </c>
    </row>
    <row r="86" spans="1:6" ht="24">
      <c r="A86" s="2850">
        <v>12</v>
      </c>
      <c r="B86" s="3496"/>
      <c r="C86" s="2824" t="s">
        <v>2670</v>
      </c>
      <c r="D86" s="2824" t="s">
        <v>2671</v>
      </c>
      <c r="E86" s="2850">
        <v>0.1</v>
      </c>
      <c r="F86" s="2850">
        <v>15</v>
      </c>
    </row>
    <row r="87" spans="1:6" ht="13.5">
      <c r="A87" s="2850">
        <v>13</v>
      </c>
      <c r="B87" s="3496"/>
      <c r="C87" s="2824" t="s">
        <v>2672</v>
      </c>
      <c r="D87" s="2824" t="s">
        <v>2673</v>
      </c>
      <c r="E87" s="2850">
        <v>0.1</v>
      </c>
      <c r="F87" s="2850">
        <v>15</v>
      </c>
    </row>
    <row r="88" spans="1:6" ht="13.5">
      <c r="A88" s="2850">
        <v>14</v>
      </c>
      <c r="B88" s="3496"/>
      <c r="C88" s="2824" t="s">
        <v>2674</v>
      </c>
      <c r="D88" s="2824" t="s">
        <v>2675</v>
      </c>
      <c r="E88" s="2850">
        <v>0.1</v>
      </c>
      <c r="F88" s="2850">
        <v>15</v>
      </c>
    </row>
    <row r="89" spans="1:6" ht="13.5">
      <c r="A89" s="2850">
        <v>15</v>
      </c>
      <c r="B89" s="3496"/>
      <c r="C89" s="2824" t="s">
        <v>2676</v>
      </c>
      <c r="D89" s="2824" t="s">
        <v>2677</v>
      </c>
      <c r="E89" s="2850">
        <v>0.1</v>
      </c>
      <c r="F89" s="2850">
        <v>15</v>
      </c>
    </row>
    <row r="90" spans="1:6" ht="24">
      <c r="A90" s="2850">
        <v>16</v>
      </c>
      <c r="B90" s="3496"/>
      <c r="C90" s="2824" t="s">
        <v>2678</v>
      </c>
      <c r="D90" s="2824" t="s">
        <v>2679</v>
      </c>
      <c r="E90" s="2850">
        <v>0.1</v>
      </c>
      <c r="F90" s="2850">
        <v>15</v>
      </c>
    </row>
    <row r="91" spans="1:6" ht="24">
      <c r="A91" s="2850">
        <v>17</v>
      </c>
      <c r="B91" s="3495"/>
      <c r="C91" s="2824" t="s">
        <v>2680</v>
      </c>
      <c r="D91" s="2824" t="s">
        <v>2681</v>
      </c>
      <c r="E91" s="2850">
        <v>0.1</v>
      </c>
      <c r="F91" s="2850">
        <v>15</v>
      </c>
    </row>
    <row r="92" spans="1:6" ht="13.5">
      <c r="A92" s="2850">
        <v>18</v>
      </c>
      <c r="B92" s="3494" t="s">
        <v>2682</v>
      </c>
      <c r="C92" s="2824" t="s">
        <v>2683</v>
      </c>
      <c r="D92" s="2824" t="s">
        <v>2684</v>
      </c>
      <c r="E92" s="2850">
        <v>0.2</v>
      </c>
      <c r="F92" s="2850">
        <v>25</v>
      </c>
    </row>
    <row r="93" spans="1:6" ht="24">
      <c r="A93" s="2850">
        <v>19</v>
      </c>
      <c r="B93" s="3496"/>
      <c r="C93" s="2824" t="s">
        <v>2685</v>
      </c>
      <c r="D93" s="2824" t="s">
        <v>2686</v>
      </c>
      <c r="E93" s="2850">
        <v>0.2</v>
      </c>
      <c r="F93" s="2850">
        <v>25</v>
      </c>
    </row>
    <row r="94" spans="1:6" ht="13.5">
      <c r="A94" s="2850">
        <v>20</v>
      </c>
      <c r="B94" s="3496"/>
      <c r="C94" s="2824" t="s">
        <v>2687</v>
      </c>
      <c r="D94" s="2824" t="s">
        <v>2688</v>
      </c>
      <c r="E94" s="2850">
        <v>0.15</v>
      </c>
      <c r="F94" s="2850">
        <v>20</v>
      </c>
    </row>
    <row r="95" spans="1:6" ht="13.5">
      <c r="A95" s="2850">
        <v>21</v>
      </c>
      <c r="B95" s="3496"/>
      <c r="C95" s="2824" t="s">
        <v>2689</v>
      </c>
      <c r="D95" s="2824" t="s">
        <v>2690</v>
      </c>
      <c r="E95" s="2850">
        <v>0.15</v>
      </c>
      <c r="F95" s="2850">
        <v>20</v>
      </c>
    </row>
    <row r="96" spans="1:6" ht="13.5">
      <c r="A96" s="2850">
        <v>22</v>
      </c>
      <c r="B96" s="3496"/>
      <c r="C96" s="2824" t="s">
        <v>2691</v>
      </c>
      <c r="D96" s="2824" t="s">
        <v>2692</v>
      </c>
      <c r="E96" s="2850">
        <v>0.15</v>
      </c>
      <c r="F96" s="2850">
        <v>20</v>
      </c>
    </row>
    <row r="97" spans="1:6" ht="36">
      <c r="A97" s="2850">
        <v>23</v>
      </c>
      <c r="B97" s="3496"/>
      <c r="C97" s="2824" t="s">
        <v>2693</v>
      </c>
      <c r="D97" s="2824" t="s">
        <v>2694</v>
      </c>
      <c r="E97" s="2850">
        <v>0.15</v>
      </c>
      <c r="F97" s="2850">
        <v>20</v>
      </c>
    </row>
    <row r="98" spans="1:6" ht="13.5">
      <c r="A98" s="2850">
        <v>24</v>
      </c>
      <c r="B98" s="3496"/>
      <c r="C98" s="2824" t="s">
        <v>2695</v>
      </c>
      <c r="D98" s="2824" t="s">
        <v>2696</v>
      </c>
      <c r="E98" s="2850">
        <v>0.1</v>
      </c>
      <c r="F98" s="2850">
        <v>15</v>
      </c>
    </row>
    <row r="99" spans="1:6" ht="13.5">
      <c r="A99" s="2850">
        <v>25</v>
      </c>
      <c r="B99" s="3496"/>
      <c r="C99" s="2824" t="s">
        <v>2697</v>
      </c>
      <c r="D99" s="2824" t="s">
        <v>2698</v>
      </c>
      <c r="E99" s="2850">
        <v>0.1</v>
      </c>
      <c r="F99" s="2850">
        <v>15</v>
      </c>
    </row>
    <row r="100" spans="1:6" ht="24">
      <c r="A100" s="2850">
        <v>26</v>
      </c>
      <c r="B100" s="3496"/>
      <c r="C100" s="2824" t="s">
        <v>2699</v>
      </c>
      <c r="D100" s="2824" t="s">
        <v>2700</v>
      </c>
      <c r="E100" s="2850">
        <v>0.1</v>
      </c>
      <c r="F100" s="2850">
        <v>15</v>
      </c>
    </row>
    <row r="101" spans="1:6" ht="24">
      <c r="A101" s="2850">
        <v>27</v>
      </c>
      <c r="B101" s="3496"/>
      <c r="C101" s="2824" t="s">
        <v>2701</v>
      </c>
      <c r="D101" s="2824" t="s">
        <v>2702</v>
      </c>
      <c r="E101" s="2850">
        <v>0.1</v>
      </c>
      <c r="F101" s="2850">
        <v>15</v>
      </c>
    </row>
    <row r="102" spans="1:6" ht="13.5">
      <c r="A102" s="2850">
        <v>28</v>
      </c>
      <c r="B102" s="3496"/>
      <c r="C102" s="2824" t="s">
        <v>2703</v>
      </c>
      <c r="D102" s="2824" t="s">
        <v>2704</v>
      </c>
      <c r="E102" s="2850">
        <v>0.1</v>
      </c>
      <c r="F102" s="2850">
        <v>15</v>
      </c>
    </row>
    <row r="103" spans="1:6" ht="13.5">
      <c r="A103" s="2850">
        <v>29</v>
      </c>
      <c r="B103" s="3496"/>
      <c r="C103" s="2824" t="s">
        <v>2705</v>
      </c>
      <c r="D103" s="2824" t="s">
        <v>2706</v>
      </c>
      <c r="E103" s="2850">
        <v>0.1</v>
      </c>
      <c r="F103" s="2850">
        <v>15</v>
      </c>
    </row>
    <row r="104" spans="1:6" ht="13.5">
      <c r="A104" s="2850">
        <v>30</v>
      </c>
      <c r="B104" s="3496"/>
      <c r="C104" s="2824" t="s">
        <v>2707</v>
      </c>
      <c r="D104" s="2824" t="s">
        <v>2708</v>
      </c>
      <c r="E104" s="2850">
        <v>0.1</v>
      </c>
      <c r="F104" s="2850">
        <v>15</v>
      </c>
    </row>
    <row r="105" spans="1:6" ht="24">
      <c r="A105" s="2850">
        <v>31</v>
      </c>
      <c r="B105" s="3496"/>
      <c r="C105" s="2824" t="s">
        <v>2709</v>
      </c>
      <c r="D105" s="2824" t="s">
        <v>2710</v>
      </c>
      <c r="E105" s="2850">
        <v>0.1</v>
      </c>
      <c r="F105" s="2850">
        <v>15</v>
      </c>
    </row>
    <row r="106" spans="1:6" ht="24">
      <c r="A106" s="2850">
        <v>32</v>
      </c>
      <c r="B106" s="3496"/>
      <c r="C106" s="2824" t="s">
        <v>2711</v>
      </c>
      <c r="D106" s="2824" t="s">
        <v>2712</v>
      </c>
      <c r="E106" s="2850">
        <v>0.1</v>
      </c>
      <c r="F106" s="2850">
        <v>15</v>
      </c>
    </row>
    <row r="107" spans="1:6" ht="24">
      <c r="A107" s="2850">
        <v>33</v>
      </c>
      <c r="B107" s="3496"/>
      <c r="C107" s="2824" t="s">
        <v>2713</v>
      </c>
      <c r="D107" s="2824" t="s">
        <v>2714</v>
      </c>
      <c r="E107" s="2850">
        <v>0.1</v>
      </c>
      <c r="F107" s="2850">
        <v>15</v>
      </c>
    </row>
    <row r="108" spans="1:6" ht="24">
      <c r="A108" s="2850">
        <v>34</v>
      </c>
      <c r="B108" s="3495"/>
      <c r="C108" s="2824" t="s">
        <v>2715</v>
      </c>
      <c r="D108" s="2824" t="s">
        <v>2716</v>
      </c>
      <c r="E108" s="2850">
        <v>0.1</v>
      </c>
      <c r="F108" s="2850">
        <v>15</v>
      </c>
    </row>
    <row r="109" spans="1:6" ht="24">
      <c r="A109" s="2850">
        <v>35</v>
      </c>
      <c r="B109" s="3494" t="s">
        <v>2717</v>
      </c>
      <c r="C109" s="2850" t="s">
        <v>2718</v>
      </c>
      <c r="D109" s="2824" t="s">
        <v>2719</v>
      </c>
      <c r="E109" s="2850">
        <v>0.15</v>
      </c>
      <c r="F109" s="2850">
        <v>20</v>
      </c>
    </row>
    <row r="110" spans="1:6" ht="13.5">
      <c r="A110" s="2850">
        <v>36</v>
      </c>
      <c r="B110" s="3496"/>
      <c r="C110" s="2850" t="s">
        <v>2720</v>
      </c>
      <c r="D110" s="2824" t="s">
        <v>2721</v>
      </c>
      <c r="E110" s="2850">
        <v>0.15</v>
      </c>
      <c r="F110" s="2850">
        <v>20</v>
      </c>
    </row>
    <row r="111" spans="1:6" ht="13.5">
      <c r="A111" s="2850">
        <v>37</v>
      </c>
      <c r="B111" s="3496"/>
      <c r="C111" s="2850" t="s">
        <v>2722</v>
      </c>
      <c r="D111" s="2824" t="s">
        <v>2723</v>
      </c>
      <c r="E111" s="2850">
        <v>0.15</v>
      </c>
      <c r="F111" s="2850">
        <v>20</v>
      </c>
    </row>
    <row r="112" spans="1:6" ht="13.5">
      <c r="A112" s="2850">
        <v>38</v>
      </c>
      <c r="B112" s="3496"/>
      <c r="C112" s="2850" t="s">
        <v>2724</v>
      </c>
      <c r="D112" s="2824" t="s">
        <v>2725</v>
      </c>
      <c r="E112" s="2850">
        <v>0.1</v>
      </c>
      <c r="F112" s="2850">
        <v>15</v>
      </c>
    </row>
    <row r="113" spans="1:6" ht="24">
      <c r="A113" s="2850">
        <v>39</v>
      </c>
      <c r="B113" s="3496"/>
      <c r="C113" s="2850" t="s">
        <v>2726</v>
      </c>
      <c r="D113" s="2824" t="s">
        <v>2727</v>
      </c>
      <c r="E113" s="2850">
        <v>0.1</v>
      </c>
      <c r="F113" s="2850">
        <v>15</v>
      </c>
    </row>
    <row r="114" spans="1:6" ht="24">
      <c r="A114" s="2850">
        <v>40</v>
      </c>
      <c r="B114" s="3495"/>
      <c r="C114" s="2850" t="s">
        <v>2728</v>
      </c>
      <c r="D114" s="2824" t="s">
        <v>2729</v>
      </c>
      <c r="E114" s="2850">
        <v>0.1</v>
      </c>
      <c r="F114" s="2850">
        <v>15</v>
      </c>
    </row>
    <row r="115" spans="1:6" ht="13.5">
      <c r="A115" s="2850">
        <v>41</v>
      </c>
      <c r="B115" s="3493" t="s">
        <v>2730</v>
      </c>
      <c r="C115" s="2850" t="s">
        <v>2731</v>
      </c>
      <c r="D115" s="2824" t="s">
        <v>2732</v>
      </c>
      <c r="E115" s="2850">
        <v>0.1</v>
      </c>
      <c r="F115" s="2850">
        <v>15</v>
      </c>
    </row>
    <row r="116" spans="1:6" ht="13.5">
      <c r="A116" s="2850">
        <v>42</v>
      </c>
      <c r="B116" s="3493"/>
      <c r="C116" s="2850" t="s">
        <v>2733</v>
      </c>
      <c r="D116" s="2824" t="s">
        <v>2734</v>
      </c>
      <c r="E116" s="2850">
        <v>0.1</v>
      </c>
      <c r="F116" s="2850">
        <v>15</v>
      </c>
    </row>
    <row r="117" spans="1:6" ht="24">
      <c r="A117" s="2850">
        <v>43</v>
      </c>
      <c r="B117" s="3493"/>
      <c r="C117" s="2850" t="s">
        <v>2735</v>
      </c>
      <c r="D117" s="2824" t="s">
        <v>2736</v>
      </c>
      <c r="E117" s="2850">
        <v>0.1</v>
      </c>
      <c r="F117" s="2850">
        <v>15</v>
      </c>
    </row>
    <row r="118" spans="1:6" ht="13.5">
      <c r="A118" s="2850">
        <v>44</v>
      </c>
      <c r="B118" s="3494" t="s">
        <v>2737</v>
      </c>
      <c r="C118" s="2850" t="s">
        <v>2738</v>
      </c>
      <c r="D118" s="2824" t="s">
        <v>2739</v>
      </c>
      <c r="E118" s="2850">
        <v>0.1</v>
      </c>
      <c r="F118" s="2850">
        <v>15</v>
      </c>
    </row>
    <row r="119" spans="1:6" ht="24">
      <c r="A119" s="2850">
        <v>45</v>
      </c>
      <c r="B119" s="3495"/>
      <c r="C119" s="2824" t="s">
        <v>2740</v>
      </c>
      <c r="D119" s="2824" t="s">
        <v>2741</v>
      </c>
      <c r="E119" s="2850">
        <v>0.1</v>
      </c>
      <c r="F119" s="2850">
        <v>15</v>
      </c>
    </row>
    <row r="120" spans="1:6" ht="24">
      <c r="A120" s="2850">
        <v>46</v>
      </c>
      <c r="B120" s="3494" t="s">
        <v>2742</v>
      </c>
      <c r="C120" s="2850" t="s">
        <v>2743</v>
      </c>
      <c r="D120" s="2824" t="s">
        <v>2744</v>
      </c>
      <c r="E120" s="2850">
        <v>0.1</v>
      </c>
      <c r="F120" s="2850">
        <v>15</v>
      </c>
    </row>
    <row r="121" spans="1:6" ht="24">
      <c r="A121" s="2850">
        <v>47</v>
      </c>
      <c r="B121" s="3495"/>
      <c r="C121" s="2850" t="s">
        <v>2745</v>
      </c>
      <c r="D121" s="2824" t="s">
        <v>2746</v>
      </c>
      <c r="E121" s="2850">
        <v>0.1</v>
      </c>
      <c r="F121" s="2850">
        <v>15</v>
      </c>
    </row>
    <row r="122" spans="1:6" ht="13.5">
      <c r="A122" s="2850">
        <v>48</v>
      </c>
      <c r="B122" s="3494" t="s">
        <v>2747</v>
      </c>
      <c r="C122" s="2850" t="s">
        <v>2748</v>
      </c>
      <c r="D122" s="2824" t="s">
        <v>2749</v>
      </c>
      <c r="E122" s="2850">
        <v>0.1</v>
      </c>
      <c r="F122" s="2850">
        <v>15</v>
      </c>
    </row>
    <row r="123" spans="1:6" ht="13.5">
      <c r="A123" s="2850">
        <v>49</v>
      </c>
      <c r="B123" s="3495"/>
      <c r="C123" s="2850" t="s">
        <v>2750</v>
      </c>
      <c r="D123" s="2824" t="s">
        <v>2751</v>
      </c>
      <c r="E123" s="2850">
        <v>0.1</v>
      </c>
      <c r="F123" s="2850">
        <v>15</v>
      </c>
    </row>
    <row r="124" spans="1:6" ht="24">
      <c r="A124" s="2850">
        <v>50</v>
      </c>
      <c r="B124" s="3493" t="s">
        <v>2752</v>
      </c>
      <c r="C124" s="2850" t="s">
        <v>2753</v>
      </c>
      <c r="D124" s="2824" t="s">
        <v>2754</v>
      </c>
      <c r="E124" s="2850">
        <v>0.1</v>
      </c>
      <c r="F124" s="2850">
        <v>15</v>
      </c>
    </row>
    <row r="125" spans="1:6" ht="24">
      <c r="A125" s="2850">
        <v>51</v>
      </c>
      <c r="B125" s="3493"/>
      <c r="C125" s="2850" t="s">
        <v>2755</v>
      </c>
      <c r="D125" s="2824" t="s">
        <v>2756</v>
      </c>
      <c r="E125" s="2850">
        <v>0.1</v>
      </c>
      <c r="F125" s="2850">
        <v>15</v>
      </c>
    </row>
    <row r="126" spans="1:6" ht="24">
      <c r="A126" s="2850">
        <v>52</v>
      </c>
      <c r="B126" s="3493" t="s">
        <v>2757</v>
      </c>
      <c r="C126" s="2850" t="s">
        <v>2758</v>
      </c>
      <c r="D126" s="2824" t="s">
        <v>2759</v>
      </c>
      <c r="E126" s="2850">
        <v>0.1</v>
      </c>
      <c r="F126" s="2850">
        <v>15</v>
      </c>
    </row>
    <row r="127" spans="1:6" ht="24">
      <c r="A127" s="2850">
        <v>53</v>
      </c>
      <c r="B127" s="3493"/>
      <c r="C127" s="2850" t="s">
        <v>2760</v>
      </c>
      <c r="D127" s="2824" t="s">
        <v>2761</v>
      </c>
      <c r="E127" s="2850">
        <v>0.1</v>
      </c>
      <c r="F127" s="2850">
        <v>15</v>
      </c>
    </row>
    <row r="128" spans="1:6" ht="13.5">
      <c r="A128" s="2850">
        <v>54</v>
      </c>
      <c r="B128" s="2850" t="s">
        <v>2762</v>
      </c>
      <c r="C128" s="2850" t="s">
        <v>2763</v>
      </c>
      <c r="D128" s="2824" t="s">
        <v>2764</v>
      </c>
      <c r="E128" s="2850">
        <v>0.1</v>
      </c>
      <c r="F128" s="2850">
        <v>15</v>
      </c>
    </row>
    <row r="129" spans="1:6" ht="13.5">
      <c r="A129" s="2850">
        <v>55</v>
      </c>
      <c r="B129" s="3493" t="s">
        <v>2765</v>
      </c>
      <c r="C129" s="2850" t="s">
        <v>2766</v>
      </c>
      <c r="D129" s="2824" t="s">
        <v>2767</v>
      </c>
      <c r="E129" s="2850">
        <v>0.1</v>
      </c>
      <c r="F129" s="2850">
        <v>15</v>
      </c>
    </row>
    <row r="130" spans="1:6" ht="13.5">
      <c r="A130" s="2850">
        <v>56</v>
      </c>
      <c r="B130" s="3493"/>
      <c r="C130" s="2850" t="s">
        <v>2768</v>
      </c>
      <c r="D130" s="2824" t="s">
        <v>2769</v>
      </c>
      <c r="E130" s="2850">
        <v>0.1</v>
      </c>
      <c r="F130" s="2850">
        <v>15</v>
      </c>
    </row>
    <row r="131" spans="1:6" ht="24">
      <c r="A131" s="2850">
        <v>57</v>
      </c>
      <c r="B131" s="3493"/>
      <c r="C131" s="2850" t="s">
        <v>2770</v>
      </c>
      <c r="D131" s="2824" t="s">
        <v>2771</v>
      </c>
      <c r="E131" s="2850">
        <v>0.1</v>
      </c>
      <c r="F131" s="2850">
        <v>15</v>
      </c>
    </row>
    <row r="132" spans="1:6" ht="24">
      <c r="A132" s="2850">
        <v>58</v>
      </c>
      <c r="B132" s="3493" t="s">
        <v>2772</v>
      </c>
      <c r="C132" s="2850" t="s">
        <v>2773</v>
      </c>
      <c r="D132" s="2824" t="s">
        <v>2774</v>
      </c>
      <c r="E132" s="2850">
        <v>0.1</v>
      </c>
      <c r="F132" s="2850">
        <v>15</v>
      </c>
    </row>
    <row r="133" spans="1:6" ht="13.5">
      <c r="A133" s="2850">
        <v>59</v>
      </c>
      <c r="B133" s="3493"/>
      <c r="C133" s="2850" t="s">
        <v>2775</v>
      </c>
      <c r="D133" s="2824" t="s">
        <v>2776</v>
      </c>
      <c r="E133" s="2850">
        <v>0.1</v>
      </c>
      <c r="F133" s="2850">
        <v>15</v>
      </c>
    </row>
    <row r="134" spans="1:6" ht="13.5">
      <c r="A134" s="2850">
        <v>60</v>
      </c>
      <c r="B134" s="3494" t="s">
        <v>2777</v>
      </c>
      <c r="C134" s="2850" t="s">
        <v>2778</v>
      </c>
      <c r="D134" s="2824" t="s">
        <v>2779</v>
      </c>
      <c r="E134" s="2850">
        <v>0.1</v>
      </c>
      <c r="F134" s="2850">
        <v>15</v>
      </c>
    </row>
    <row r="135" spans="1:6" ht="13.5">
      <c r="A135" s="2850">
        <v>61</v>
      </c>
      <c r="B135" s="3495"/>
      <c r="C135" s="2850" t="s">
        <v>2780</v>
      </c>
      <c r="D135" s="2824" t="s">
        <v>2781</v>
      </c>
      <c r="E135" s="2850">
        <v>0.1</v>
      </c>
      <c r="F135" s="2850">
        <v>15</v>
      </c>
    </row>
    <row r="136" spans="1:6" ht="24">
      <c r="A136" s="2850">
        <v>62</v>
      </c>
      <c r="B136" s="2850" t="s">
        <v>2782</v>
      </c>
      <c r="C136" s="2850" t="s">
        <v>2783</v>
      </c>
      <c r="D136" s="2824" t="s">
        <v>2784</v>
      </c>
      <c r="E136" s="2850">
        <v>0.1</v>
      </c>
      <c r="F136" s="2850">
        <v>15</v>
      </c>
    </row>
    <row r="137" spans="1:6" ht="13.5">
      <c r="A137" s="2850">
        <v>63</v>
      </c>
      <c r="B137" s="3493" t="s">
        <v>2785</v>
      </c>
      <c r="C137" s="2850" t="s">
        <v>2786</v>
      </c>
      <c r="D137" s="2824" t="s">
        <v>2787</v>
      </c>
      <c r="E137" s="2850">
        <v>0.1</v>
      </c>
      <c r="F137" s="2850">
        <v>15</v>
      </c>
    </row>
    <row r="138" spans="1:6" ht="13.5">
      <c r="A138" s="2850">
        <v>64</v>
      </c>
      <c r="B138" s="3493"/>
      <c r="C138" s="2850" t="s">
        <v>2788</v>
      </c>
      <c r="D138" s="2824" t="s">
        <v>2789</v>
      </c>
      <c r="E138" s="2850">
        <v>0.1</v>
      </c>
      <c r="F138" s="2850">
        <v>15</v>
      </c>
    </row>
    <row r="139" spans="1:6" ht="13.5">
      <c r="A139" s="2850">
        <v>65</v>
      </c>
      <c r="B139" s="2850" t="s">
        <v>2790</v>
      </c>
      <c r="C139" s="2850" t="s">
        <v>2791</v>
      </c>
      <c r="D139" s="2824" t="s">
        <v>2792</v>
      </c>
      <c r="E139" s="2850">
        <v>0.1</v>
      </c>
      <c r="F139" s="2850">
        <v>15</v>
      </c>
    </row>
    <row r="140" spans="1:6" ht="13.5">
      <c r="A140" s="2850"/>
      <c r="B140" s="2850"/>
      <c r="C140" s="2850"/>
      <c r="D140" s="2850"/>
      <c r="E140" s="2850" t="s">
        <v>2793</v>
      </c>
      <c r="F140" s="2850"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3"/>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SUMPRODUCT((A95:A184=ROUNDDOWN('基准地价修正-商业'!G3,1))*(B94:M94='基准地价修正-商业'!G2)*(B95:M184))</f>
        <v>0</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3"/>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3"/>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SUMPRODUCT((A371:A460=ROUNDDOWN('基准地价修正-商业'!G3,1))*(B370:M370='基准地价修正-商业'!G2)*(B371:M460))</f>
        <v>0</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26423</v>
      </c>
      <c r="C2" s="2" t="s">
        <v>106</v>
      </c>
      <c r="D2" s="191"/>
      <c r="E2" s="191"/>
      <c r="F2" s="191"/>
      <c r="G2" s="191"/>
    </row>
    <row r="3" spans="1:7" s="192" customFormat="1" ht="18" customHeight="1" thickBot="1">
      <c r="A3" s="195" t="s">
        <v>58</v>
      </c>
      <c r="B3" s="196">
        <f ca="1">ROUND(B2*10000/'数据-汇总表'!E3,0)</f>
        <v>1707022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3</v>
      </c>
      <c r="D9" s="791">
        <f>'数据-汇总表'!E5</f>
        <v>154.79</v>
      </c>
      <c r="E9" s="217">
        <f>'数据-取费表'!B27</f>
        <v>170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2</v>
      </c>
      <c r="D19" s="204">
        <f>'数据-汇总表'!E3</f>
        <v>154.79</v>
      </c>
      <c r="E19" s="203">
        <f>'数据-取费表'!B31</f>
        <v>120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1267</v>
      </c>
      <c r="D22" s="227">
        <f ca="1">C26</f>
        <v>5.9999999999999995E-4</v>
      </c>
      <c r="E22" s="228" t="s">
        <v>99</v>
      </c>
      <c r="F22" s="229">
        <f ca="1">'数据-取费表'!B40</f>
        <v>0.03</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1255</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0</v>
      </c>
      <c r="D24" s="230"/>
      <c r="E24" s="230"/>
      <c r="F24" s="231"/>
      <c r="G24" s="232" t="s">
        <v>82</v>
      </c>
    </row>
    <row r="25" spans="1:7" s="206" customFormat="1" ht="24">
      <c r="A25" s="730" t="s">
        <v>348</v>
      </c>
      <c r="B25" s="207" t="s">
        <v>420</v>
      </c>
      <c r="C25" s="1038">
        <f ca="1">ROUND(IF('数据-取费表'!B22&lt;=1,C20*F22*'数据-取费表'!B23/2,C20*(POWER((1+F22),'数据-取费表'!B23/2)-1)),0)</f>
        <v>12</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2102</v>
      </c>
      <c r="D27" s="227">
        <f>C29</f>
        <v>2E-3</v>
      </c>
      <c r="E27" s="228" t="s">
        <v>99</v>
      </c>
      <c r="F27" s="238">
        <f>'数据-取费表'!Q16</f>
        <v>0.1</v>
      </c>
      <c r="G27" s="239" t="s">
        <v>431</v>
      </c>
    </row>
    <row r="28" spans="1:7" s="206" customFormat="1" ht="13.5" customHeight="1">
      <c r="A28" s="730" t="s">
        <v>349</v>
      </c>
      <c r="B28" s="240" t="s">
        <v>424</v>
      </c>
      <c r="C28" s="241">
        <f>ROUND((C5+C19+C20)*F27*'数据-取费表'!B21/'数据-取费表'!B20,0)</f>
        <v>2102</v>
      </c>
      <c r="D28" s="227"/>
      <c r="E28" s="228"/>
      <c r="F28" s="238"/>
      <c r="G28" s="239"/>
    </row>
    <row r="29" spans="1:7" s="206" customFormat="1" ht="13.5" customHeight="1">
      <c r="A29" s="730" t="s">
        <v>347</v>
      </c>
      <c r="B29" s="240" t="s">
        <v>425</v>
      </c>
      <c r="C29" s="230">
        <f>ROUND(C21*F27*'数据-取费表'!B21/'数据-取费表'!B20,4)</f>
        <v>2E-3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0" t="s">
        <v>351</v>
      </c>
      <c r="B35" s="207" t="s">
        <v>33</v>
      </c>
      <c r="C35" s="212">
        <f>ROUND(C34*F35,0)</f>
        <v>1</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0" t="s">
        <v>353</v>
      </c>
      <c r="B37" s="207" t="s">
        <v>91</v>
      </c>
      <c r="C37" s="241">
        <f>ROUND(E37*D37*F34/10000,0)</f>
        <v>2</v>
      </c>
      <c r="D37" s="209">
        <f>'数据-汇总表'!E3</f>
        <v>154.79</v>
      </c>
      <c r="E37" s="241">
        <f>'数据-取费表'!B35</f>
        <v>120</v>
      </c>
      <c r="F37" s="251"/>
      <c r="G37" s="253" t="s">
        <v>92</v>
      </c>
    </row>
    <row r="38" spans="1:7" ht="13.5" customHeight="1">
      <c r="A38" s="730" t="s">
        <v>354</v>
      </c>
      <c r="B38" s="207" t="s">
        <v>36</v>
      </c>
      <c r="C38" s="212">
        <f>ROUND(C34*F38,0)</f>
        <v>0</v>
      </c>
      <c r="D38" s="212"/>
      <c r="E38" s="212"/>
      <c r="F38" s="251">
        <f>'数据-取费表'!B36</f>
        <v>1.4999999999999999E-2</v>
      </c>
      <c r="G38" s="211" t="s">
        <v>90</v>
      </c>
    </row>
    <row r="39" spans="1:7" s="206" customFormat="1" ht="13.5" customHeight="1">
      <c r="A39" s="727" t="s">
        <v>338</v>
      </c>
      <c r="B39" s="202" t="s">
        <v>77</v>
      </c>
      <c r="C39" s="224">
        <f>ROUND(C33*F20,0)</f>
        <v>1</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v>
      </c>
      <c r="D42" s="230"/>
      <c r="E42" s="230"/>
      <c r="F42" s="231"/>
      <c r="G42" s="3368" t="s">
        <v>94</v>
      </c>
    </row>
    <row r="43" spans="1:7" ht="13.5" customHeight="1">
      <c r="A43" s="730" t="s">
        <v>347</v>
      </c>
      <c r="B43" s="207" t="s">
        <v>426</v>
      </c>
      <c r="C43" s="230">
        <f ca="1">ROUND(IF('数据-取费表'!B22&lt;=1,C39*F22*'数据-取费表'!B21/2,C39*(POWER((1+F22),'数据-取费表'!B21/2)-1)),0)</f>
        <v>0</v>
      </c>
      <c r="D43" s="230"/>
      <c r="E43" s="230"/>
      <c r="F43" s="231"/>
      <c r="G43" s="3369"/>
    </row>
    <row r="44" spans="1:7" ht="13.5" customHeight="1">
      <c r="A44" s="730"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27" t="s">
        <v>341</v>
      </c>
      <c r="B45" s="236" t="s">
        <v>85</v>
      </c>
      <c r="C45" s="237">
        <f>C46</f>
        <v>3</v>
      </c>
      <c r="D45" s="227">
        <f>C47</f>
        <v>2E-3</v>
      </c>
      <c r="E45" s="228" t="s">
        <v>102</v>
      </c>
      <c r="F45" s="238"/>
      <c r="G45" s="239" t="s">
        <v>434</v>
      </c>
    </row>
    <row r="46" spans="1:7" s="206" customFormat="1" ht="13.5" customHeight="1">
      <c r="A46" s="730" t="s">
        <v>349</v>
      </c>
      <c r="B46" s="240" t="s">
        <v>427</v>
      </c>
      <c r="C46" s="241">
        <f>ROUND((C33+C39)*F27,0)</f>
        <v>3</v>
      </c>
      <c r="D46" s="255"/>
      <c r="E46" s="228"/>
      <c r="F46" s="238"/>
      <c r="G46" s="239"/>
    </row>
    <row r="47" spans="1:7" s="206" customFormat="1" ht="13.5" customHeight="1">
      <c r="A47" s="730" t="s">
        <v>347</v>
      </c>
      <c r="B47" s="240" t="s">
        <v>429</v>
      </c>
      <c r="C47" s="230">
        <f>ROUND(C40*F27,4)</f>
        <v>2E-3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35</v>
      </c>
      <c r="D49" s="224"/>
      <c r="E49" s="224"/>
      <c r="F49" s="256"/>
      <c r="G49" s="226" t="s">
        <v>435</v>
      </c>
    </row>
    <row r="50" spans="1:7" s="250" customFormat="1" ht="24">
      <c r="A50" s="727" t="s">
        <v>344</v>
      </c>
      <c r="B50" s="202" t="s">
        <v>97</v>
      </c>
      <c r="C50" s="224"/>
      <c r="D50" s="224"/>
      <c r="E50" s="224"/>
      <c r="F50" s="256">
        <f>IF('数据-取费表'!B24=0,'数据-取费表'!N16,1)</f>
        <v>0.75</v>
      </c>
      <c r="G50" s="239" t="s">
        <v>98</v>
      </c>
    </row>
    <row r="51" spans="1:7" ht="16.5" customHeight="1">
      <c r="A51" s="727" t="s">
        <v>345</v>
      </c>
      <c r="B51" s="202" t="s">
        <v>105</v>
      </c>
      <c r="C51" s="224">
        <f ca="1">ROUND(C49*F50,0)</f>
        <v>26</v>
      </c>
      <c r="D51" s="224"/>
      <c r="E51" s="224"/>
      <c r="F51" s="256"/>
      <c r="G51" s="226" t="s">
        <v>37</v>
      </c>
    </row>
    <row r="52" spans="1:7" s="200" customFormat="1" ht="16.5" thickBot="1">
      <c r="A52" s="257" t="s">
        <v>38</v>
      </c>
      <c r="B52" s="258"/>
      <c r="C52" s="259">
        <f ca="1">C31+C51</f>
        <v>26423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07" t="s">
        <v>3177</v>
      </c>
      <c r="B1" s="3507"/>
    </row>
    <row r="2" spans="1:7" ht="14.25" thickBot="1">
      <c r="A2" s="2961"/>
      <c r="B2" s="2961"/>
    </row>
    <row r="3" spans="1:7" ht="14.25" thickBot="1">
      <c r="A3" s="2961"/>
      <c r="B3" s="2961"/>
      <c r="C3" s="2962" t="s">
        <v>2807</v>
      </c>
      <c r="D3" s="2962" t="s">
        <v>2863</v>
      </c>
      <c r="E3" s="2962" t="s">
        <v>2809</v>
      </c>
      <c r="F3" s="2962" t="s">
        <v>2864</v>
      </c>
      <c r="G3" s="2962" t="s">
        <v>2627</v>
      </c>
    </row>
    <row r="4" spans="1:7" ht="14.25" thickBot="1">
      <c r="A4" s="2963" t="s">
        <v>2862</v>
      </c>
      <c r="B4" s="2964" t="s">
        <v>2868</v>
      </c>
      <c r="C4" s="2962"/>
      <c r="D4" s="2962"/>
      <c r="E4" s="2962"/>
      <c r="F4" s="2962"/>
      <c r="G4" s="2962"/>
    </row>
    <row r="5" spans="1:7">
      <c r="A5" s="2965" t="s">
        <v>2836</v>
      </c>
      <c r="B5" s="2966" t="s">
        <v>2850</v>
      </c>
      <c r="C5" s="2967">
        <v>9.8000000000000004E-2</v>
      </c>
      <c r="D5" s="2967">
        <v>8.6999999999999994E-2</v>
      </c>
      <c r="E5" s="2967">
        <v>8.6999999999999994E-2</v>
      </c>
      <c r="F5" s="2967">
        <v>9.8000000000000004E-2</v>
      </c>
      <c r="G5" s="2968">
        <v>9.5000000000000001E-2</v>
      </c>
    </row>
    <row r="6" spans="1:7">
      <c r="A6" s="2969" t="s">
        <v>144</v>
      </c>
      <c r="B6" s="2970" t="s">
        <v>2865</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2851</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2901</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2919</v>
      </c>
      <c r="C29" s="2979"/>
      <c r="D29" s="2975">
        <v>5.1999999999999998E-2</v>
      </c>
      <c r="E29" s="2975">
        <v>7.0000000000000007E-2</v>
      </c>
      <c r="F29" s="2979"/>
      <c r="G29" s="2977">
        <v>7.0999999999999994E-2</v>
      </c>
    </row>
    <row r="30" spans="1:7">
      <c r="A30" s="2980" t="s">
        <v>296</v>
      </c>
      <c r="B30" s="2966" t="s">
        <v>2852</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2838</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2922</v>
      </c>
      <c r="C50" s="2971">
        <v>9.8000000000000004E-2</v>
      </c>
      <c r="D50" s="2971">
        <v>7.2999999999999995E-2</v>
      </c>
      <c r="E50" s="2971">
        <v>7.0999999999999994E-2</v>
      </c>
      <c r="F50" s="2982"/>
      <c r="G50" s="2972">
        <v>7.2999999999999995E-2</v>
      </c>
    </row>
    <row r="51" spans="1:7">
      <c r="A51" s="2981" t="s">
        <v>296</v>
      </c>
      <c r="B51" s="2970" t="s">
        <v>2924</v>
      </c>
      <c r="C51" s="2971">
        <v>9.9000000000000005E-2</v>
      </c>
      <c r="D51" s="2971">
        <v>8.5000000000000006E-2</v>
      </c>
      <c r="E51" s="2971">
        <v>6.3E-2</v>
      </c>
      <c r="F51" s="2982"/>
      <c r="G51" s="2972">
        <v>9.6000000000000002E-2</v>
      </c>
    </row>
    <row r="52" spans="1:7">
      <c r="A52" s="2981" t="s">
        <v>296</v>
      </c>
      <c r="B52" s="2970" t="s">
        <v>2928</v>
      </c>
      <c r="C52" s="2971">
        <v>7.3999999999999996E-2</v>
      </c>
      <c r="D52" s="2971">
        <v>9.6000000000000002E-2</v>
      </c>
      <c r="E52" s="2971">
        <v>0.05</v>
      </c>
      <c r="F52" s="2982"/>
      <c r="G52" s="2972">
        <v>9.8000000000000004E-2</v>
      </c>
    </row>
    <row r="53" spans="1:7">
      <c r="A53" s="2981" t="s">
        <v>296</v>
      </c>
      <c r="B53" s="2970" t="s">
        <v>2933</v>
      </c>
      <c r="C53" s="2971">
        <v>8.5999999999999993E-2</v>
      </c>
      <c r="D53" s="2982"/>
      <c r="E53" s="2971">
        <v>9.1999999999999998E-2</v>
      </c>
      <c r="F53" s="2982"/>
      <c r="G53" s="2983"/>
    </row>
    <row r="54" spans="1:7" ht="14.25" thickBot="1">
      <c r="A54" s="2984" t="s">
        <v>296</v>
      </c>
      <c r="B54" s="2974" t="s">
        <v>2936</v>
      </c>
      <c r="C54" s="2975">
        <v>9.6000000000000002E-2</v>
      </c>
      <c r="D54" s="2976"/>
      <c r="E54" s="2985"/>
      <c r="F54" s="2976"/>
      <c r="G54" s="2986"/>
    </row>
    <row r="55" spans="1:7">
      <c r="A55" s="2980" t="s">
        <v>110</v>
      </c>
      <c r="B55" s="2966" t="s">
        <v>2853</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2934</v>
      </c>
      <c r="C78" s="2971">
        <v>0.1</v>
      </c>
      <c r="D78" s="2971">
        <v>8.5000000000000006E-2</v>
      </c>
      <c r="E78" s="2971">
        <v>9.6000000000000002E-2</v>
      </c>
      <c r="F78" s="2982"/>
      <c r="G78" s="2972">
        <v>9.6000000000000002E-2</v>
      </c>
    </row>
    <row r="79" spans="1:7">
      <c r="A79" s="2981" t="s">
        <v>110</v>
      </c>
      <c r="B79" s="2970" t="s">
        <v>2937</v>
      </c>
      <c r="C79" s="2971">
        <v>0.05</v>
      </c>
      <c r="D79" s="2971">
        <v>9.6000000000000002E-2</v>
      </c>
      <c r="E79" s="2971">
        <v>9.5000000000000001E-2</v>
      </c>
      <c r="F79" s="2982"/>
      <c r="G79" s="2972">
        <v>9.8000000000000004E-2</v>
      </c>
    </row>
    <row r="80" spans="1:7">
      <c r="A80" s="2981" t="s">
        <v>110</v>
      </c>
      <c r="B80" s="2970" t="s">
        <v>2941</v>
      </c>
      <c r="C80" s="2971">
        <v>8.5999999999999993E-2</v>
      </c>
      <c r="D80" s="2987"/>
      <c r="E80" s="2971">
        <v>0.1</v>
      </c>
      <c r="F80" s="2982"/>
      <c r="G80" s="2983"/>
    </row>
    <row r="81" spans="1:7">
      <c r="A81" s="2981" t="s">
        <v>110</v>
      </c>
      <c r="B81" s="2970" t="s">
        <v>2946</v>
      </c>
      <c r="C81" s="2971">
        <v>9.6000000000000002E-2</v>
      </c>
      <c r="D81" s="2982"/>
      <c r="E81" s="2971">
        <v>9.8000000000000004E-2</v>
      </c>
      <c r="F81" s="2982"/>
      <c r="G81" s="2983"/>
    </row>
    <row r="82" spans="1:7">
      <c r="A82" s="2981" t="s">
        <v>110</v>
      </c>
      <c r="B82" s="2970" t="s">
        <v>2953</v>
      </c>
      <c r="C82" s="2987"/>
      <c r="D82" s="2982"/>
      <c r="E82" s="2971">
        <v>7.6999999999999999E-2</v>
      </c>
      <c r="F82" s="2982"/>
      <c r="G82" s="2983"/>
    </row>
    <row r="83" spans="1:7">
      <c r="A83" s="2981" t="s">
        <v>110</v>
      </c>
      <c r="B83" s="2970" t="s">
        <v>2959</v>
      </c>
      <c r="C83" s="2982"/>
      <c r="D83" s="2982"/>
      <c r="E83" s="2982"/>
      <c r="F83" s="2971">
        <v>0.1</v>
      </c>
      <c r="G83" s="2988"/>
    </row>
    <row r="84" spans="1:7">
      <c r="A84" s="2981" t="s">
        <v>110</v>
      </c>
      <c r="B84" s="2970" t="s">
        <v>2966</v>
      </c>
      <c r="C84" s="2982"/>
      <c r="D84" s="2982"/>
      <c r="E84" s="2982"/>
      <c r="F84" s="2971">
        <v>0.1</v>
      </c>
      <c r="G84" s="2988"/>
    </row>
    <row r="85" spans="1:7">
      <c r="A85" s="2981" t="s">
        <v>110</v>
      </c>
      <c r="B85" s="2970" t="s">
        <v>2973</v>
      </c>
      <c r="C85" s="2982"/>
      <c r="D85" s="2982"/>
      <c r="E85" s="2982"/>
      <c r="F85" s="2971">
        <v>0.1</v>
      </c>
      <c r="G85" s="2988"/>
    </row>
    <row r="86" spans="1:7" ht="14.25" thickBot="1">
      <c r="A86" s="2984" t="s">
        <v>110</v>
      </c>
      <c r="B86" s="2974" t="s">
        <v>2978</v>
      </c>
      <c r="C86" s="2975">
        <v>9.8000000000000004E-2</v>
      </c>
      <c r="D86" s="2975">
        <v>9.8000000000000004E-2</v>
      </c>
      <c r="E86" s="2975">
        <v>9.6000000000000002E-2</v>
      </c>
      <c r="F86" s="2985"/>
      <c r="G86" s="2977">
        <v>0.1</v>
      </c>
    </row>
    <row r="87" spans="1:7">
      <c r="A87" s="2980" t="s">
        <v>303</v>
      </c>
      <c r="B87" s="2966" t="s">
        <v>2854</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2947</v>
      </c>
      <c r="C113" s="2971">
        <v>0.1</v>
      </c>
      <c r="D113" s="2971">
        <v>0.1</v>
      </c>
      <c r="E113" s="2982"/>
      <c r="F113" s="2982"/>
      <c r="G113" s="2972">
        <v>0.1</v>
      </c>
    </row>
    <row r="114" spans="1:7">
      <c r="A114" s="2981" t="s">
        <v>303</v>
      </c>
      <c r="B114" s="2970" t="s">
        <v>2954</v>
      </c>
      <c r="C114" s="2971">
        <v>9.7000000000000003E-2</v>
      </c>
      <c r="D114" s="2971">
        <v>9.7000000000000003E-2</v>
      </c>
      <c r="E114" s="2982"/>
      <c r="F114" s="2982"/>
      <c r="G114" s="2972">
        <v>9.9000000000000005E-2</v>
      </c>
    </row>
    <row r="115" spans="1:7">
      <c r="A115" s="2981" t="s">
        <v>303</v>
      </c>
      <c r="B115" s="2970" t="s">
        <v>2960</v>
      </c>
      <c r="C115" s="2971">
        <v>0.1</v>
      </c>
      <c r="D115" s="2971">
        <v>0.1</v>
      </c>
      <c r="E115" s="2982"/>
      <c r="F115" s="2982"/>
      <c r="G115" s="2972">
        <v>0.1</v>
      </c>
    </row>
    <row r="116" spans="1:7">
      <c r="A116" s="2981" t="s">
        <v>303</v>
      </c>
      <c r="B116" s="2970" t="s">
        <v>2967</v>
      </c>
      <c r="C116" s="2971">
        <v>0.1</v>
      </c>
      <c r="D116" s="2971">
        <v>0.1</v>
      </c>
      <c r="E116" s="2982"/>
      <c r="F116" s="2982"/>
      <c r="G116" s="2972">
        <v>0.1</v>
      </c>
    </row>
    <row r="117" spans="1:7">
      <c r="A117" s="2981" t="s">
        <v>303</v>
      </c>
      <c r="B117" s="2970" t="s">
        <v>2974</v>
      </c>
      <c r="C117" s="2971">
        <v>9.7000000000000003E-2</v>
      </c>
      <c r="D117" s="2971">
        <v>9.7000000000000003E-2</v>
      </c>
      <c r="E117" s="2982"/>
      <c r="F117" s="2982"/>
      <c r="G117" s="2972">
        <v>9.7000000000000003E-2</v>
      </c>
    </row>
    <row r="118" spans="1:7">
      <c r="A118" s="2981" t="s">
        <v>303</v>
      </c>
      <c r="B118" s="2970" t="s">
        <v>2979</v>
      </c>
      <c r="C118" s="2971">
        <v>0.1</v>
      </c>
      <c r="D118" s="2971">
        <v>0.1</v>
      </c>
      <c r="E118" s="2982"/>
      <c r="F118" s="2982"/>
      <c r="G118" s="2972">
        <v>0.1</v>
      </c>
    </row>
    <row r="119" spans="1:7">
      <c r="A119" s="2981" t="s">
        <v>303</v>
      </c>
      <c r="B119" s="2970" t="s">
        <v>2983</v>
      </c>
      <c r="C119" s="2971">
        <v>5.0999999999999997E-2</v>
      </c>
      <c r="D119" s="2971">
        <v>5.1999999999999998E-2</v>
      </c>
      <c r="E119" s="2982"/>
      <c r="F119" s="2987"/>
      <c r="G119" s="2972">
        <v>0.06</v>
      </c>
    </row>
    <row r="120" spans="1:7">
      <c r="A120" s="2981" t="s">
        <v>303</v>
      </c>
      <c r="B120" s="2970" t="s">
        <v>2987</v>
      </c>
      <c r="C120" s="2982"/>
      <c r="D120" s="2982"/>
      <c r="E120" s="2982"/>
      <c r="F120" s="2971">
        <v>0.1</v>
      </c>
      <c r="G120" s="2988"/>
    </row>
    <row r="121" spans="1:7">
      <c r="A121" s="2981" t="s">
        <v>303</v>
      </c>
      <c r="B121" s="2970" t="s">
        <v>2992</v>
      </c>
      <c r="C121" s="2982"/>
      <c r="D121" s="2982"/>
      <c r="E121" s="2982"/>
      <c r="F121" s="2971">
        <v>0.1</v>
      </c>
      <c r="G121" s="2988"/>
    </row>
    <row r="122" spans="1:7">
      <c r="A122" s="2981" t="s">
        <v>303</v>
      </c>
      <c r="B122" s="2970" t="s">
        <v>2997</v>
      </c>
      <c r="C122" s="2971">
        <v>0.1</v>
      </c>
      <c r="D122" s="2971">
        <v>0.1</v>
      </c>
      <c r="E122" s="2971">
        <v>9.8000000000000004E-2</v>
      </c>
      <c r="F122" s="2971">
        <v>0.1</v>
      </c>
      <c r="G122" s="2972">
        <v>0.1</v>
      </c>
    </row>
    <row r="123" spans="1:7">
      <c r="A123" s="2981" t="s">
        <v>303</v>
      </c>
      <c r="B123" s="2970" t="s">
        <v>3002</v>
      </c>
      <c r="C123" s="2971">
        <v>0.1</v>
      </c>
      <c r="D123" s="2971">
        <v>0.1</v>
      </c>
      <c r="E123" s="2971">
        <v>9.8000000000000004E-2</v>
      </c>
      <c r="F123" s="2971">
        <v>0.1</v>
      </c>
      <c r="G123" s="2972">
        <v>0.1</v>
      </c>
    </row>
    <row r="124" spans="1:7">
      <c r="A124" s="2981" t="s">
        <v>303</v>
      </c>
      <c r="B124" s="2970" t="s">
        <v>3007</v>
      </c>
      <c r="C124" s="2971">
        <v>0.1</v>
      </c>
      <c r="D124" s="2971">
        <v>0.1</v>
      </c>
      <c r="E124" s="2971">
        <v>9.8000000000000004E-2</v>
      </c>
      <c r="F124" s="2987"/>
      <c r="G124" s="2972">
        <v>0.1</v>
      </c>
    </row>
    <row r="125" spans="1:7">
      <c r="A125" s="2981" t="s">
        <v>303</v>
      </c>
      <c r="B125" s="2970" t="s">
        <v>3012</v>
      </c>
      <c r="C125" s="2971">
        <v>9.8000000000000004E-2</v>
      </c>
      <c r="D125" s="2971">
        <v>9.8000000000000004E-2</v>
      </c>
      <c r="E125" s="2971">
        <v>9.6000000000000002E-2</v>
      </c>
      <c r="F125" s="2987"/>
      <c r="G125" s="2972">
        <v>0.1</v>
      </c>
    </row>
    <row r="126" spans="1:7" ht="14.25" thickBot="1">
      <c r="A126" s="2984" t="s">
        <v>303</v>
      </c>
      <c r="B126" s="2974" t="s">
        <v>3178</v>
      </c>
      <c r="C126" s="2975">
        <v>0.1</v>
      </c>
      <c r="D126" s="2975">
        <v>0.1</v>
      </c>
      <c r="E126" s="2975">
        <v>9.8000000000000004E-2</v>
      </c>
      <c r="F126" s="2975">
        <v>0.1</v>
      </c>
      <c r="G126" s="2977">
        <v>0.1</v>
      </c>
    </row>
    <row r="127" spans="1:7">
      <c r="A127" s="2980" t="s">
        <v>29</v>
      </c>
      <c r="B127" s="2966" t="s">
        <v>2855</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2925</v>
      </c>
      <c r="C148" s="2971">
        <v>0.13</v>
      </c>
      <c r="D148" s="2971">
        <v>0.13</v>
      </c>
      <c r="E148" s="2971">
        <v>0.13</v>
      </c>
      <c r="F148" s="2982"/>
      <c r="G148" s="2972">
        <v>0.13</v>
      </c>
    </row>
    <row r="149" spans="1:7">
      <c r="A149" s="2981" t="s">
        <v>29</v>
      </c>
      <c r="B149" s="2970" t="s">
        <v>2929</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2948</v>
      </c>
      <c r="C153" s="2971">
        <v>0.13</v>
      </c>
      <c r="D153" s="2971">
        <v>0.13</v>
      </c>
      <c r="E153" s="2971">
        <v>0.13</v>
      </c>
      <c r="F153" s="2971">
        <v>0.13</v>
      </c>
      <c r="G153" s="2972">
        <v>0.13</v>
      </c>
    </row>
    <row r="154" spans="1:7">
      <c r="A154" s="2981" t="s">
        <v>29</v>
      </c>
      <c r="B154" s="2970" t="s">
        <v>2955</v>
      </c>
      <c r="C154" s="2971">
        <v>0.121</v>
      </c>
      <c r="D154" s="2971">
        <v>0.121</v>
      </c>
      <c r="E154" s="2971">
        <v>0.105</v>
      </c>
      <c r="F154" s="2971">
        <v>0.121</v>
      </c>
      <c r="G154" s="2972">
        <v>0.123</v>
      </c>
    </row>
    <row r="155" spans="1:7">
      <c r="A155" s="2981" t="s">
        <v>29</v>
      </c>
      <c r="B155" s="2970" t="s">
        <v>2961</v>
      </c>
      <c r="C155" s="2971">
        <v>0.1</v>
      </c>
      <c r="D155" s="2971">
        <v>0.1</v>
      </c>
      <c r="E155" s="2971">
        <v>0.1</v>
      </c>
      <c r="F155" s="2971">
        <v>0.1</v>
      </c>
      <c r="G155" s="2972">
        <v>0.1</v>
      </c>
    </row>
    <row r="156" spans="1:7">
      <c r="A156" s="2981" t="s">
        <v>29</v>
      </c>
      <c r="B156" s="2970" t="s">
        <v>2968</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2988</v>
      </c>
      <c r="C160" s="2971">
        <v>0.13</v>
      </c>
      <c r="D160" s="2971">
        <v>0.13</v>
      </c>
      <c r="E160" s="2971">
        <v>0.124</v>
      </c>
      <c r="F160" s="2971">
        <v>0.126</v>
      </c>
      <c r="G160" s="2972">
        <v>0.13</v>
      </c>
    </row>
    <row r="161" spans="1:7">
      <c r="A161" s="2981" t="s">
        <v>29</v>
      </c>
      <c r="B161" s="2970" t="s">
        <v>2993</v>
      </c>
      <c r="C161" s="2971">
        <v>0.13</v>
      </c>
      <c r="D161" s="2971">
        <v>0.13</v>
      </c>
      <c r="E161" s="2971">
        <v>0.124</v>
      </c>
      <c r="F161" s="2971">
        <v>0.127</v>
      </c>
      <c r="G161" s="2972">
        <v>0.13</v>
      </c>
    </row>
    <row r="162" spans="1:7">
      <c r="A162" s="2981" t="s">
        <v>29</v>
      </c>
      <c r="B162" s="2970" t="s">
        <v>2998</v>
      </c>
      <c r="C162" s="2971">
        <v>0.1</v>
      </c>
      <c r="D162" s="2971">
        <v>0.1</v>
      </c>
      <c r="E162" s="2971">
        <v>0.1</v>
      </c>
      <c r="F162" s="2971">
        <v>0.121</v>
      </c>
      <c r="G162" s="2972">
        <v>0.105</v>
      </c>
    </row>
    <row r="163" spans="1:7">
      <c r="A163" s="2981" t="s">
        <v>29</v>
      </c>
      <c r="B163" s="2970" t="s">
        <v>3003</v>
      </c>
      <c r="C163" s="2971">
        <v>0.1</v>
      </c>
      <c r="D163" s="2971">
        <v>0.1</v>
      </c>
      <c r="E163" s="2971">
        <v>0.1</v>
      </c>
      <c r="F163" s="2971">
        <v>0.1</v>
      </c>
      <c r="G163" s="2972">
        <v>0.1</v>
      </c>
    </row>
    <row r="164" spans="1:7">
      <c r="A164" s="2981" t="s">
        <v>29</v>
      </c>
      <c r="B164" s="2970" t="s">
        <v>3008</v>
      </c>
      <c r="C164" s="2987"/>
      <c r="D164" s="2987"/>
      <c r="E164" s="2987"/>
      <c r="F164" s="2971">
        <v>0.1</v>
      </c>
      <c r="G164" s="2983"/>
    </row>
    <row r="165" spans="1:7">
      <c r="A165" s="2981" t="s">
        <v>29</v>
      </c>
      <c r="B165" s="2970" t="s">
        <v>3179</v>
      </c>
      <c r="C165" s="2971">
        <v>0.126</v>
      </c>
      <c r="D165" s="2971">
        <v>0.126</v>
      </c>
      <c r="E165" s="2971">
        <v>0.11899999999999999</v>
      </c>
      <c r="F165" s="2971">
        <v>0.13</v>
      </c>
      <c r="G165" s="2972">
        <v>0.128</v>
      </c>
    </row>
    <row r="166" spans="1:7">
      <c r="A166" s="2981" t="s">
        <v>29</v>
      </c>
      <c r="B166" s="2970" t="s">
        <v>3018</v>
      </c>
      <c r="C166" s="2971">
        <v>0.129</v>
      </c>
      <c r="D166" s="2971">
        <v>0.129</v>
      </c>
      <c r="E166" s="2971">
        <v>0.123</v>
      </c>
      <c r="F166" s="2971">
        <v>0.128</v>
      </c>
      <c r="G166" s="2972">
        <v>0.13</v>
      </c>
    </row>
    <row r="167" spans="1:7">
      <c r="A167" s="2981" t="s">
        <v>29</v>
      </c>
      <c r="B167" s="2970" t="s">
        <v>3022</v>
      </c>
      <c r="C167" s="2971">
        <v>0.125</v>
      </c>
      <c r="D167" s="2971">
        <v>0.125</v>
      </c>
      <c r="E167" s="2971">
        <v>0.11700000000000001</v>
      </c>
      <c r="F167" s="2971">
        <v>0.13</v>
      </c>
      <c r="G167" s="2972">
        <v>0.126</v>
      </c>
    </row>
    <row r="168" spans="1:7">
      <c r="A168" s="2981" t="s">
        <v>29</v>
      </c>
      <c r="B168" s="2970" t="s">
        <v>3027</v>
      </c>
      <c r="C168" s="2971">
        <v>0.128</v>
      </c>
      <c r="D168" s="2971">
        <v>0.128</v>
      </c>
      <c r="E168" s="2971">
        <v>0.123</v>
      </c>
      <c r="F168" s="2982"/>
      <c r="G168" s="2972">
        <v>0.13</v>
      </c>
    </row>
    <row r="169" spans="1:7">
      <c r="A169" s="2981" t="s">
        <v>29</v>
      </c>
      <c r="B169" s="2970" t="s">
        <v>3180</v>
      </c>
      <c r="C169" s="2987"/>
      <c r="D169" s="2987"/>
      <c r="E169" s="2987"/>
      <c r="F169" s="2971">
        <v>0.05</v>
      </c>
      <c r="G169" s="2983"/>
    </row>
    <row r="170" spans="1:7">
      <c r="A170" s="2981" t="s">
        <v>29</v>
      </c>
      <c r="B170" s="2970" t="s">
        <v>3181</v>
      </c>
      <c r="C170" s="2987"/>
      <c r="D170" s="2987"/>
      <c r="E170" s="2987"/>
      <c r="F170" s="2971">
        <v>0.05</v>
      </c>
      <c r="G170" s="2983"/>
    </row>
    <row r="171" spans="1:7">
      <c r="A171" s="2981" t="s">
        <v>29</v>
      </c>
      <c r="B171" s="2970" t="s">
        <v>3182</v>
      </c>
      <c r="C171" s="2987"/>
      <c r="D171" s="2987"/>
      <c r="E171" s="2987"/>
      <c r="F171" s="2971">
        <v>0.05</v>
      </c>
      <c r="G171" s="2988"/>
    </row>
    <row r="172" spans="1:7">
      <c r="A172" s="2981" t="s">
        <v>29</v>
      </c>
      <c r="B172" s="2970" t="s">
        <v>3183</v>
      </c>
      <c r="C172" s="2987"/>
      <c r="D172" s="2987"/>
      <c r="E172" s="2987"/>
      <c r="F172" s="2971">
        <v>0.05</v>
      </c>
      <c r="G172" s="2988"/>
    </row>
    <row r="173" spans="1:7">
      <c r="A173" s="2981" t="s">
        <v>29</v>
      </c>
      <c r="B173" s="2970" t="s">
        <v>3184</v>
      </c>
      <c r="C173" s="2987"/>
      <c r="D173" s="2987"/>
      <c r="E173" s="2987"/>
      <c r="F173" s="2971">
        <v>0.05</v>
      </c>
      <c r="G173" s="2983"/>
    </row>
    <row r="174" spans="1:7">
      <c r="A174" s="2981" t="s">
        <v>29</v>
      </c>
      <c r="B174" s="2970" t="s">
        <v>3185</v>
      </c>
      <c r="C174" s="2987"/>
      <c r="D174" s="2987"/>
      <c r="E174" s="2987"/>
      <c r="F174" s="2971">
        <v>0.05</v>
      </c>
      <c r="G174" s="2983"/>
    </row>
    <row r="175" spans="1:7">
      <c r="A175" s="2981" t="s">
        <v>29</v>
      </c>
      <c r="B175" s="2970" t="s">
        <v>3186</v>
      </c>
      <c r="C175" s="2987"/>
      <c r="D175" s="2987"/>
      <c r="E175" s="2987"/>
      <c r="F175" s="2971">
        <v>0.05</v>
      </c>
      <c r="G175" s="2983"/>
    </row>
    <row r="176" spans="1:7">
      <c r="A176" s="2981" t="s">
        <v>29</v>
      </c>
      <c r="B176" s="2970" t="s">
        <v>3187</v>
      </c>
      <c r="C176" s="2987"/>
      <c r="D176" s="2987"/>
      <c r="E176" s="2987"/>
      <c r="F176" s="2971">
        <v>0.05</v>
      </c>
      <c r="G176" s="2983"/>
    </row>
    <row r="177" spans="1:7">
      <c r="A177" s="2981" t="s">
        <v>29</v>
      </c>
      <c r="B177" s="2970" t="s">
        <v>3188</v>
      </c>
      <c r="C177" s="2982"/>
      <c r="D177" s="2982"/>
      <c r="E177" s="2982"/>
      <c r="F177" s="2971">
        <v>0.05</v>
      </c>
      <c r="G177" s="2988"/>
    </row>
    <row r="178" spans="1:7">
      <c r="A178" s="2981" t="s">
        <v>29</v>
      </c>
      <c r="B178" s="2970" t="s">
        <v>3189</v>
      </c>
      <c r="C178" s="2982"/>
      <c r="D178" s="2982"/>
      <c r="E178" s="2982"/>
      <c r="F178" s="2971">
        <v>0.05</v>
      </c>
      <c r="G178" s="2988"/>
    </row>
    <row r="179" spans="1:7">
      <c r="A179" s="2981" t="s">
        <v>29</v>
      </c>
      <c r="B179" s="2970" t="s">
        <v>3190</v>
      </c>
      <c r="C179" s="2982"/>
      <c r="D179" s="2982"/>
      <c r="E179" s="2982"/>
      <c r="F179" s="2971">
        <v>0.05</v>
      </c>
      <c r="G179" s="2988"/>
    </row>
    <row r="180" spans="1:7">
      <c r="A180" s="2981" t="s">
        <v>29</v>
      </c>
      <c r="B180" s="2970" t="s">
        <v>3191</v>
      </c>
      <c r="C180" s="2982"/>
      <c r="D180" s="2982"/>
      <c r="E180" s="2982"/>
      <c r="F180" s="2971">
        <v>0.05</v>
      </c>
      <c r="G180" s="2988"/>
    </row>
    <row r="181" spans="1:7">
      <c r="A181" s="2981" t="s">
        <v>29</v>
      </c>
      <c r="B181" s="2970" t="s">
        <v>3192</v>
      </c>
      <c r="C181" s="2982"/>
      <c r="D181" s="2982"/>
      <c r="E181" s="2982"/>
      <c r="F181" s="2971">
        <v>0.05</v>
      </c>
      <c r="G181" s="2988"/>
    </row>
    <row r="182" spans="1:7">
      <c r="A182" s="2981" t="s">
        <v>29</v>
      </c>
      <c r="B182" s="2970" t="s">
        <v>3193</v>
      </c>
      <c r="C182" s="2982"/>
      <c r="D182" s="2982"/>
      <c r="E182" s="2982"/>
      <c r="F182" s="2971">
        <v>0.05</v>
      </c>
      <c r="G182" s="2988"/>
    </row>
    <row r="183" spans="1:7">
      <c r="A183" s="2981" t="s">
        <v>29</v>
      </c>
      <c r="B183" s="2970" t="s">
        <v>3194</v>
      </c>
      <c r="C183" s="2982"/>
      <c r="D183" s="2982"/>
      <c r="E183" s="2982"/>
      <c r="F183" s="2971">
        <v>0.05</v>
      </c>
      <c r="G183" s="2988"/>
    </row>
    <row r="184" spans="1:7">
      <c r="A184" s="2981" t="s">
        <v>29</v>
      </c>
      <c r="B184" s="2970" t="s">
        <v>3195</v>
      </c>
      <c r="C184" s="2982"/>
      <c r="D184" s="2982"/>
      <c r="E184" s="2982"/>
      <c r="F184" s="2971">
        <v>0.05</v>
      </c>
      <c r="G184" s="2988"/>
    </row>
    <row r="185" spans="1:7">
      <c r="A185" s="2981" t="s">
        <v>29</v>
      </c>
      <c r="B185" s="2970" t="s">
        <v>3196</v>
      </c>
      <c r="C185" s="2982"/>
      <c r="D185" s="2982"/>
      <c r="E185" s="2982"/>
      <c r="F185" s="2971">
        <v>0.05</v>
      </c>
      <c r="G185" s="2988"/>
    </row>
    <row r="186" spans="1:7">
      <c r="A186" s="2981" t="s">
        <v>29</v>
      </c>
      <c r="B186" s="2970" t="s">
        <v>3197</v>
      </c>
      <c r="C186" s="2982"/>
      <c r="D186" s="2982"/>
      <c r="E186" s="2982"/>
      <c r="F186" s="2971">
        <v>0.05</v>
      </c>
      <c r="G186" s="2988"/>
    </row>
    <row r="187" spans="1:7">
      <c r="A187" s="2981" t="s">
        <v>29</v>
      </c>
      <c r="B187" s="2970" t="s">
        <v>3198</v>
      </c>
      <c r="C187" s="2982"/>
      <c r="D187" s="2982"/>
      <c r="E187" s="2982"/>
      <c r="F187" s="2971">
        <v>0.05</v>
      </c>
      <c r="G187" s="2988"/>
    </row>
    <row r="188" spans="1:7">
      <c r="A188" s="2981" t="s">
        <v>29</v>
      </c>
      <c r="B188" s="2970" t="s">
        <v>3199</v>
      </c>
      <c r="C188" s="2982"/>
      <c r="D188" s="2982"/>
      <c r="E188" s="2982"/>
      <c r="F188" s="2971">
        <v>0.05</v>
      </c>
      <c r="G188" s="2988"/>
    </row>
    <row r="189" spans="1:7" ht="14.25" thickBot="1">
      <c r="A189" s="2984" t="s">
        <v>29</v>
      </c>
      <c r="B189" s="2974" t="s">
        <v>3200</v>
      </c>
      <c r="C189" s="2976"/>
      <c r="D189" s="2976"/>
      <c r="E189" s="2976"/>
      <c r="F189" s="2975">
        <v>0.05</v>
      </c>
      <c r="G189" s="2989"/>
    </row>
    <row r="190" spans="1:7">
      <c r="A190" s="2980" t="s">
        <v>304</v>
      </c>
      <c r="B190" s="2966" t="s">
        <v>2856</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2892</v>
      </c>
      <c r="C199" s="2971">
        <v>0.13</v>
      </c>
      <c r="D199" s="2971">
        <v>0.13</v>
      </c>
      <c r="E199" s="2971">
        <v>0.13</v>
      </c>
      <c r="F199" s="2971">
        <v>0.13</v>
      </c>
      <c r="G199" s="2972">
        <v>0.13</v>
      </c>
    </row>
    <row r="200" spans="1:7">
      <c r="A200" s="2981" t="s">
        <v>304</v>
      </c>
      <c r="B200" s="2970" t="s">
        <v>2895</v>
      </c>
      <c r="C200" s="2987"/>
      <c r="D200" s="2987"/>
      <c r="E200" s="2987"/>
      <c r="F200" s="2971">
        <v>0.13</v>
      </c>
      <c r="G200" s="2983"/>
    </row>
    <row r="201" spans="1:7">
      <c r="A201" s="2981" t="s">
        <v>304</v>
      </c>
      <c r="B201" s="2970" t="s">
        <v>2900</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2903</v>
      </c>
      <c r="C203" s="2971">
        <v>0.129</v>
      </c>
      <c r="D203" s="2971">
        <v>0.129</v>
      </c>
      <c r="E203" s="2971">
        <v>0.13</v>
      </c>
      <c r="F203" s="2971">
        <v>0.13</v>
      </c>
      <c r="G203" s="2972">
        <v>0.13</v>
      </c>
    </row>
    <row r="204" spans="1:7">
      <c r="A204" s="2981" t="s">
        <v>304</v>
      </c>
      <c r="B204" s="2970" t="s">
        <v>2906</v>
      </c>
      <c r="C204" s="2971">
        <v>0.129</v>
      </c>
      <c r="D204" s="2971">
        <v>0.129</v>
      </c>
      <c r="E204" s="2971">
        <v>0.123</v>
      </c>
      <c r="F204" s="2971">
        <v>0.13</v>
      </c>
      <c r="G204" s="2972">
        <v>0.13</v>
      </c>
    </row>
    <row r="205" spans="1:7">
      <c r="A205" s="2981" t="s">
        <v>304</v>
      </c>
      <c r="B205" s="2970" t="s">
        <v>2908</v>
      </c>
      <c r="C205" s="2971">
        <v>0.13</v>
      </c>
      <c r="D205" s="2971">
        <v>0.13</v>
      </c>
      <c r="E205" s="2971">
        <v>0.13</v>
      </c>
      <c r="F205" s="2971">
        <v>0.13</v>
      </c>
      <c r="G205" s="2972">
        <v>0.13</v>
      </c>
    </row>
    <row r="206" spans="1:7">
      <c r="A206" s="2981" t="s">
        <v>304</v>
      </c>
      <c r="B206" s="2970" t="s">
        <v>2911</v>
      </c>
      <c r="C206" s="2971">
        <v>0.13</v>
      </c>
      <c r="D206" s="2971">
        <v>0.13</v>
      </c>
      <c r="E206" s="2971">
        <v>0.13</v>
      </c>
      <c r="F206" s="2971">
        <v>0.128</v>
      </c>
      <c r="G206" s="2972">
        <v>0.13</v>
      </c>
    </row>
    <row r="207" spans="1:7">
      <c r="A207" s="2981" t="s">
        <v>304</v>
      </c>
      <c r="B207" s="2970" t="s">
        <v>2913</v>
      </c>
      <c r="C207" s="2971">
        <v>0.13</v>
      </c>
      <c r="D207" s="2971">
        <v>0.13</v>
      </c>
      <c r="E207" s="2971">
        <v>0.13</v>
      </c>
      <c r="F207" s="2971">
        <v>0.13</v>
      </c>
      <c r="G207" s="2972">
        <v>0.13</v>
      </c>
    </row>
    <row r="208" spans="1:7">
      <c r="A208" s="2981" t="s">
        <v>304</v>
      </c>
      <c r="B208" s="2970" t="s">
        <v>2916</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2923</v>
      </c>
      <c r="C210" s="2971">
        <v>0.121</v>
      </c>
      <c r="D210" s="2971">
        <v>0.121</v>
      </c>
      <c r="E210" s="2971">
        <v>0.125</v>
      </c>
      <c r="F210" s="2971">
        <v>0.13</v>
      </c>
      <c r="G210" s="2972">
        <v>0.123</v>
      </c>
    </row>
    <row r="211" spans="1:7">
      <c r="A211" s="2981" t="s">
        <v>304</v>
      </c>
      <c r="B211" s="2970" t="s">
        <v>2926</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2938</v>
      </c>
      <c r="C214" s="2971">
        <v>0.128</v>
      </c>
      <c r="D214" s="2971">
        <v>0.128</v>
      </c>
      <c r="E214" s="2971">
        <v>0.13</v>
      </c>
      <c r="F214" s="2971">
        <v>0.13</v>
      </c>
      <c r="G214" s="2972">
        <v>0.13</v>
      </c>
    </row>
    <row r="215" spans="1:7">
      <c r="A215" s="2981" t="s">
        <v>304</v>
      </c>
      <c r="B215" s="2970" t="s">
        <v>2942</v>
      </c>
      <c r="C215" s="2971">
        <v>0.13</v>
      </c>
      <c r="D215" s="2971">
        <v>0.13</v>
      </c>
      <c r="E215" s="2971">
        <v>0.13</v>
      </c>
      <c r="F215" s="2971">
        <v>0.129</v>
      </c>
      <c r="G215" s="2972">
        <v>0.13</v>
      </c>
    </row>
    <row r="216" spans="1:7">
      <c r="A216" s="2981" t="s">
        <v>304</v>
      </c>
      <c r="B216" s="2970" t="s">
        <v>2949</v>
      </c>
      <c r="C216" s="2971">
        <v>0.13</v>
      </c>
      <c r="D216" s="2971">
        <v>0.13</v>
      </c>
      <c r="E216" s="2971">
        <v>0.13</v>
      </c>
      <c r="F216" s="2971">
        <v>0.13</v>
      </c>
      <c r="G216" s="2972">
        <v>0.13</v>
      </c>
    </row>
    <row r="217" spans="1:7">
      <c r="A217" s="2981" t="s">
        <v>304</v>
      </c>
      <c r="B217" s="2970" t="s">
        <v>2956</v>
      </c>
      <c r="C217" s="2971">
        <v>0.129</v>
      </c>
      <c r="D217" s="2971">
        <v>0.129</v>
      </c>
      <c r="E217" s="2971">
        <v>0.13</v>
      </c>
      <c r="F217" s="2971">
        <v>0.13</v>
      </c>
      <c r="G217" s="2972">
        <v>0.13</v>
      </c>
    </row>
    <row r="218" spans="1:7">
      <c r="A218" s="2981" t="s">
        <v>304</v>
      </c>
      <c r="B218" s="2970" t="s">
        <v>2962</v>
      </c>
      <c r="C218" s="2982"/>
      <c r="D218" s="2982"/>
      <c r="E218" s="2982"/>
      <c r="F218" s="2971">
        <v>0.05</v>
      </c>
      <c r="G218" s="2988"/>
    </row>
    <row r="219" spans="1:7">
      <c r="A219" s="2981" t="s">
        <v>304</v>
      </c>
      <c r="B219" s="2970" t="s">
        <v>2969</v>
      </c>
      <c r="C219" s="2982"/>
      <c r="D219" s="2982"/>
      <c r="E219" s="2982"/>
      <c r="F219" s="2971">
        <v>0.05</v>
      </c>
      <c r="G219" s="2988"/>
    </row>
    <row r="220" spans="1:7">
      <c r="A220" s="2981" t="s">
        <v>304</v>
      </c>
      <c r="B220" s="2970" t="s">
        <v>2975</v>
      </c>
      <c r="C220" s="2982"/>
      <c r="D220" s="2982"/>
      <c r="E220" s="2982"/>
      <c r="F220" s="2971">
        <v>0.05</v>
      </c>
      <c r="G220" s="2988"/>
    </row>
    <row r="221" spans="1:7">
      <c r="A221" s="2981" t="s">
        <v>304</v>
      </c>
      <c r="B221" s="2970" t="s">
        <v>2980</v>
      </c>
      <c r="C221" s="2982"/>
      <c r="D221" s="2982"/>
      <c r="E221" s="2982"/>
      <c r="F221" s="2971">
        <v>0.05</v>
      </c>
      <c r="G221" s="2988"/>
    </row>
    <row r="222" spans="1:7">
      <c r="A222" s="2981" t="s">
        <v>304</v>
      </c>
      <c r="B222" s="2970" t="s">
        <v>2984</v>
      </c>
      <c r="C222" s="2982"/>
      <c r="D222" s="2982"/>
      <c r="E222" s="2982"/>
      <c r="F222" s="2971">
        <v>0.05</v>
      </c>
      <c r="G222" s="2988"/>
    </row>
    <row r="223" spans="1:7">
      <c r="A223" s="2981" t="s">
        <v>304</v>
      </c>
      <c r="B223" s="2970" t="s">
        <v>2989</v>
      </c>
      <c r="C223" s="2982"/>
      <c r="D223" s="2982"/>
      <c r="E223" s="2982"/>
      <c r="F223" s="2971">
        <v>0.05</v>
      </c>
      <c r="G223" s="2988"/>
    </row>
    <row r="224" spans="1:7">
      <c r="A224" s="2981" t="s">
        <v>304</v>
      </c>
      <c r="B224" s="2970" t="s">
        <v>2994</v>
      </c>
      <c r="C224" s="2982"/>
      <c r="D224" s="2982"/>
      <c r="E224" s="2982"/>
      <c r="F224" s="2971">
        <v>0.05</v>
      </c>
      <c r="G224" s="2988"/>
    </row>
    <row r="225" spans="1:7">
      <c r="A225" s="2981" t="s">
        <v>304</v>
      </c>
      <c r="B225" s="2970" t="s">
        <v>2999</v>
      </c>
      <c r="C225" s="2982"/>
      <c r="D225" s="2982"/>
      <c r="E225" s="2982"/>
      <c r="F225" s="2971">
        <v>0.05</v>
      </c>
      <c r="G225" s="2988"/>
    </row>
    <row r="226" spans="1:7">
      <c r="A226" s="2981" t="s">
        <v>304</v>
      </c>
      <c r="B226" s="2970" t="s">
        <v>3201</v>
      </c>
      <c r="C226" s="2982"/>
      <c r="D226" s="2982"/>
      <c r="E226" s="2982"/>
      <c r="F226" s="2971">
        <v>0.05</v>
      </c>
      <c r="G226" s="2988"/>
    </row>
    <row r="227" spans="1:7">
      <c r="A227" s="2981" t="s">
        <v>304</v>
      </c>
      <c r="B227" s="2970" t="s">
        <v>3202</v>
      </c>
      <c r="C227" s="2982"/>
      <c r="D227" s="2982"/>
      <c r="E227" s="2982"/>
      <c r="F227" s="2971">
        <v>0.05</v>
      </c>
      <c r="G227" s="2988"/>
    </row>
    <row r="228" spans="1:7">
      <c r="A228" s="2981" t="s">
        <v>304</v>
      </c>
      <c r="B228" s="2970" t="s">
        <v>3203</v>
      </c>
      <c r="C228" s="2982"/>
      <c r="D228" s="2982"/>
      <c r="E228" s="2982"/>
      <c r="F228" s="2971">
        <v>0.05</v>
      </c>
      <c r="G228" s="2988"/>
    </row>
    <row r="229" spans="1:7">
      <c r="A229" s="2981" t="s">
        <v>304</v>
      </c>
      <c r="B229" s="2970" t="s">
        <v>3204</v>
      </c>
      <c r="C229" s="2982"/>
      <c r="D229" s="2982"/>
      <c r="E229" s="2982"/>
      <c r="F229" s="2971">
        <v>0.05</v>
      </c>
      <c r="G229" s="2988"/>
    </row>
    <row r="230" spans="1:7">
      <c r="A230" s="2981" t="s">
        <v>304</v>
      </c>
      <c r="B230" s="2970" t="s">
        <v>3205</v>
      </c>
      <c r="C230" s="2982"/>
      <c r="D230" s="2982"/>
      <c r="E230" s="2982"/>
      <c r="F230" s="2971">
        <v>0.05</v>
      </c>
      <c r="G230" s="2988"/>
    </row>
    <row r="231" spans="1:7">
      <c r="A231" s="2981" t="s">
        <v>304</v>
      </c>
      <c r="B231" s="2970" t="s">
        <v>3206</v>
      </c>
      <c r="C231" s="2982"/>
      <c r="D231" s="2982"/>
      <c r="E231" s="2982"/>
      <c r="F231" s="2971">
        <v>0.05</v>
      </c>
      <c r="G231" s="2988"/>
    </row>
    <row r="232" spans="1:7">
      <c r="A232" s="2981" t="s">
        <v>304</v>
      </c>
      <c r="B232" s="2970" t="s">
        <v>3207</v>
      </c>
      <c r="C232" s="2982"/>
      <c r="D232" s="2982"/>
      <c r="E232" s="2982"/>
      <c r="F232" s="2971">
        <v>0.05</v>
      </c>
      <c r="G232" s="2988"/>
    </row>
    <row r="233" spans="1:7" ht="14.25" thickBot="1">
      <c r="A233" s="2984" t="s">
        <v>304</v>
      </c>
      <c r="B233" s="2974" t="s">
        <v>3208</v>
      </c>
      <c r="C233" s="2976"/>
      <c r="D233" s="2976"/>
      <c r="E233" s="2976"/>
      <c r="F233" s="2975">
        <v>0.05</v>
      </c>
      <c r="G233" s="2989"/>
    </row>
    <row r="234" spans="1:7">
      <c r="A234" s="2980" t="s">
        <v>305</v>
      </c>
      <c r="B234" s="2966" t="s">
        <v>2857</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2877</v>
      </c>
      <c r="C238" s="2971">
        <v>0.14899999999999999</v>
      </c>
      <c r="D238" s="2971">
        <v>0.14899999999999999</v>
      </c>
      <c r="E238" s="2971">
        <v>0.15</v>
      </c>
      <c r="F238" s="2971">
        <v>0.15</v>
      </c>
      <c r="G238" s="2972">
        <v>0.15</v>
      </c>
    </row>
    <row r="239" spans="1:7">
      <c r="A239" s="2981" t="s">
        <v>305</v>
      </c>
      <c r="B239" s="2970" t="s">
        <v>2881</v>
      </c>
      <c r="C239" s="2971">
        <v>0.15</v>
      </c>
      <c r="D239" s="2971">
        <v>0.15</v>
      </c>
      <c r="E239" s="2971">
        <v>0.15</v>
      </c>
      <c r="F239" s="2971">
        <v>0.15</v>
      </c>
      <c r="G239" s="2972">
        <v>0.15</v>
      </c>
    </row>
    <row r="240" spans="1:7">
      <c r="A240" s="2981" t="s">
        <v>305</v>
      </c>
      <c r="B240" s="2970" t="s">
        <v>2886</v>
      </c>
      <c r="C240" s="2971">
        <v>0.15</v>
      </c>
      <c r="D240" s="2971">
        <v>0.15</v>
      </c>
      <c r="E240" s="2971">
        <v>0.15</v>
      </c>
      <c r="F240" s="2971">
        <v>0.15</v>
      </c>
      <c r="G240" s="2972">
        <v>0.15</v>
      </c>
    </row>
    <row r="241" spans="1:7">
      <c r="A241" s="2981" t="s">
        <v>305</v>
      </c>
      <c r="B241" s="2970" t="s">
        <v>2890</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2896</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2904</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2909</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2917</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2930</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2939</v>
      </c>
      <c r="C258" s="2971">
        <v>0.14299999999999999</v>
      </c>
      <c r="D258" s="2971">
        <v>0.14299999999999999</v>
      </c>
      <c r="E258" s="2971">
        <v>0.15</v>
      </c>
      <c r="F258" s="2971">
        <v>0.14799999999999999</v>
      </c>
      <c r="G258" s="2972">
        <v>0.14599999999999999</v>
      </c>
    </row>
    <row r="259" spans="1:7">
      <c r="A259" s="2981" t="s">
        <v>305</v>
      </c>
      <c r="B259" s="2970" t="s">
        <v>2943</v>
      </c>
      <c r="C259" s="2971">
        <v>0.14399999999999999</v>
      </c>
      <c r="D259" s="2971">
        <v>0.14399999999999999</v>
      </c>
      <c r="E259" s="2971">
        <v>0.14899999999999999</v>
      </c>
      <c r="F259" s="2971">
        <v>0.14699999999999999</v>
      </c>
      <c r="G259" s="2972">
        <v>0.14599999999999999</v>
      </c>
    </row>
    <row r="260" spans="1:7">
      <c r="A260" s="2981" t="s">
        <v>305</v>
      </c>
      <c r="B260" s="2970" t="s">
        <v>2950</v>
      </c>
      <c r="C260" s="2971">
        <v>0.109</v>
      </c>
      <c r="D260" s="2971">
        <v>0.111</v>
      </c>
      <c r="E260" s="2971">
        <v>0.13100000000000001</v>
      </c>
      <c r="F260" s="2971">
        <v>0.126</v>
      </c>
      <c r="G260" s="2972">
        <v>0.11899999999999999</v>
      </c>
    </row>
    <row r="261" spans="1:7">
      <c r="A261" s="2981" t="s">
        <v>305</v>
      </c>
      <c r="B261" s="2970" t="s">
        <v>2957</v>
      </c>
      <c r="C261" s="2971">
        <v>0.1</v>
      </c>
      <c r="D261" s="2971">
        <v>0.1</v>
      </c>
      <c r="E261" s="2971">
        <v>0.11799999999999999</v>
      </c>
      <c r="F261" s="2971">
        <v>0.108</v>
      </c>
      <c r="G261" s="2972">
        <v>0.107</v>
      </c>
    </row>
    <row r="262" spans="1:7">
      <c r="A262" s="2981" t="s">
        <v>305</v>
      </c>
      <c r="B262" s="2970" t="s">
        <v>2963</v>
      </c>
      <c r="C262" s="2971">
        <v>0.1</v>
      </c>
      <c r="D262" s="2971">
        <v>0.1</v>
      </c>
      <c r="E262" s="2971">
        <v>0.1</v>
      </c>
      <c r="F262" s="2971">
        <v>0.14099999999999999</v>
      </c>
      <c r="G262" s="2972">
        <v>0.1</v>
      </c>
    </row>
    <row r="263" spans="1:7">
      <c r="A263" s="2981" t="s">
        <v>305</v>
      </c>
      <c r="B263" s="2970" t="s">
        <v>2970</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2981</v>
      </c>
      <c r="C265" s="2982"/>
      <c r="D265" s="2982"/>
      <c r="E265" s="2982"/>
      <c r="F265" s="2971">
        <v>0.05</v>
      </c>
      <c r="G265" s="2988"/>
    </row>
    <row r="266" spans="1:7">
      <c r="A266" s="2981" t="s">
        <v>305</v>
      </c>
      <c r="B266" s="2970" t="s">
        <v>2985</v>
      </c>
      <c r="C266" s="2982"/>
      <c r="D266" s="2982"/>
      <c r="E266" s="2982"/>
      <c r="F266" s="2971">
        <v>0.05</v>
      </c>
      <c r="G266" s="2988"/>
    </row>
    <row r="267" spans="1:7">
      <c r="A267" s="2981" t="s">
        <v>305</v>
      </c>
      <c r="B267" s="2970" t="s">
        <v>2990</v>
      </c>
      <c r="C267" s="2982"/>
      <c r="D267" s="2982"/>
      <c r="E267" s="2982"/>
      <c r="F267" s="2971">
        <v>0.05</v>
      </c>
      <c r="G267" s="2988"/>
    </row>
    <row r="268" spans="1:7">
      <c r="A268" s="2981" t="s">
        <v>305</v>
      </c>
      <c r="B268" s="2970" t="s">
        <v>2995</v>
      </c>
      <c r="C268" s="2982"/>
      <c r="D268" s="2982"/>
      <c r="E268" s="2982"/>
      <c r="F268" s="2971">
        <v>0.05</v>
      </c>
      <c r="G268" s="2988"/>
    </row>
    <row r="269" spans="1:7">
      <c r="A269" s="2981" t="s">
        <v>305</v>
      </c>
      <c r="B269" s="2970" t="s">
        <v>3000</v>
      </c>
      <c r="C269" s="2982"/>
      <c r="D269" s="2982"/>
      <c r="E269" s="2982"/>
      <c r="F269" s="2971">
        <v>0.05</v>
      </c>
      <c r="G269" s="2988"/>
    </row>
    <row r="270" spans="1:7">
      <c r="A270" s="2981" t="s">
        <v>305</v>
      </c>
      <c r="B270" s="2970" t="s">
        <v>3005</v>
      </c>
      <c r="C270" s="2982"/>
      <c r="D270" s="2982"/>
      <c r="E270" s="2982"/>
      <c r="F270" s="2971">
        <v>0.05</v>
      </c>
      <c r="G270" s="2988"/>
    </row>
    <row r="271" spans="1:7">
      <c r="A271" s="2981" t="s">
        <v>305</v>
      </c>
      <c r="B271" s="2970" t="s">
        <v>3209</v>
      </c>
      <c r="C271" s="2982"/>
      <c r="D271" s="2982"/>
      <c r="E271" s="2982"/>
      <c r="F271" s="2971">
        <v>0.05</v>
      </c>
      <c r="G271" s="2988"/>
    </row>
    <row r="272" spans="1:7">
      <c r="A272" s="2981" t="s">
        <v>305</v>
      </c>
      <c r="B272" s="2970" t="s">
        <v>3210</v>
      </c>
      <c r="C272" s="2982"/>
      <c r="D272" s="2982"/>
      <c r="E272" s="2982"/>
      <c r="F272" s="2971">
        <v>0.05</v>
      </c>
      <c r="G272" s="2988"/>
    </row>
    <row r="273" spans="1:7">
      <c r="A273" s="2981" t="s">
        <v>305</v>
      </c>
      <c r="B273" s="2970" t="s">
        <v>3211</v>
      </c>
      <c r="C273" s="2982"/>
      <c r="D273" s="2982"/>
      <c r="E273" s="2982"/>
      <c r="F273" s="2971">
        <v>0.05</v>
      </c>
      <c r="G273" s="2988"/>
    </row>
    <row r="274" spans="1:7">
      <c r="A274" s="2981" t="s">
        <v>305</v>
      </c>
      <c r="B274" s="2970" t="s">
        <v>3212</v>
      </c>
      <c r="C274" s="2982"/>
      <c r="D274" s="2982"/>
      <c r="E274" s="2982"/>
      <c r="F274" s="2971">
        <v>0.05</v>
      </c>
      <c r="G274" s="2988"/>
    </row>
    <row r="275" spans="1:7">
      <c r="A275" s="2981" t="s">
        <v>305</v>
      </c>
      <c r="B275" s="2970" t="s">
        <v>3213</v>
      </c>
      <c r="C275" s="2982"/>
      <c r="D275" s="2982"/>
      <c r="E275" s="2982"/>
      <c r="F275" s="2971">
        <v>0.05</v>
      </c>
      <c r="G275" s="2988"/>
    </row>
    <row r="276" spans="1:7" ht="14.25" thickBot="1">
      <c r="A276" s="2984" t="s">
        <v>305</v>
      </c>
      <c r="B276" s="2974" t="s">
        <v>3214</v>
      </c>
      <c r="C276" s="2976"/>
      <c r="D276" s="2976"/>
      <c r="E276" s="2976"/>
      <c r="F276" s="2975">
        <v>0.05</v>
      </c>
      <c r="G276" s="2989"/>
    </row>
    <row r="277" spans="1:7">
      <c r="A277" s="2980" t="s">
        <v>306</v>
      </c>
      <c r="B277" s="2966" t="s">
        <v>2858</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2870</v>
      </c>
      <c r="C279" s="2971">
        <v>0.15</v>
      </c>
      <c r="D279" s="2971">
        <v>0.15</v>
      </c>
      <c r="E279" s="2971">
        <v>0.15</v>
      </c>
      <c r="F279" s="2971">
        <v>0.15</v>
      </c>
      <c r="G279" s="2972">
        <v>0.15</v>
      </c>
    </row>
    <row r="280" spans="1:7">
      <c r="A280" s="2981" t="s">
        <v>306</v>
      </c>
      <c r="B280" s="2970" t="s">
        <v>2874</v>
      </c>
      <c r="C280" s="2971">
        <v>0.15</v>
      </c>
      <c r="D280" s="2971">
        <v>0.15</v>
      </c>
      <c r="E280" s="2971">
        <v>0.15</v>
      </c>
      <c r="F280" s="2971">
        <v>0.15</v>
      </c>
      <c r="G280" s="2972">
        <v>0.15</v>
      </c>
    </row>
    <row r="281" spans="1:7">
      <c r="A281" s="2981" t="s">
        <v>306</v>
      </c>
      <c r="B281" s="2970" t="s">
        <v>2878</v>
      </c>
      <c r="C281" s="2971">
        <v>0.15</v>
      </c>
      <c r="D281" s="2971">
        <v>0.15</v>
      </c>
      <c r="E281" s="2971">
        <v>0.15</v>
      </c>
      <c r="F281" s="2971">
        <v>0.15</v>
      </c>
      <c r="G281" s="2972">
        <v>0.15</v>
      </c>
    </row>
    <row r="282" spans="1:7">
      <c r="A282" s="2981" t="s">
        <v>306</v>
      </c>
      <c r="B282" s="2970" t="s">
        <v>2882</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2897</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2902</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2912</v>
      </c>
      <c r="C293" s="2971">
        <v>0.15</v>
      </c>
      <c r="D293" s="2971">
        <v>0.15</v>
      </c>
      <c r="E293" s="2971">
        <v>0.15</v>
      </c>
      <c r="F293" s="2971">
        <v>0.14499999999999999</v>
      </c>
      <c r="G293" s="2972">
        <v>0.15</v>
      </c>
    </row>
    <row r="294" spans="1:7">
      <c r="A294" s="2981" t="s">
        <v>306</v>
      </c>
      <c r="B294" s="2970" t="s">
        <v>2914</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2931</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2944</v>
      </c>
      <c r="C302" s="2971">
        <v>0.15</v>
      </c>
      <c r="D302" s="2971">
        <v>0.15</v>
      </c>
      <c r="E302" s="2971">
        <v>0.15</v>
      </c>
      <c r="F302" s="2971">
        <v>0.14699999999999999</v>
      </c>
      <c r="G302" s="2972">
        <v>0.15</v>
      </c>
    </row>
    <row r="303" spans="1:7">
      <c r="A303" s="2981" t="s">
        <v>306</v>
      </c>
      <c r="B303" s="2970" t="s">
        <v>2951</v>
      </c>
      <c r="C303" s="2971">
        <v>0.15</v>
      </c>
      <c r="D303" s="2971">
        <v>0.15</v>
      </c>
      <c r="E303" s="2971">
        <v>0.15</v>
      </c>
      <c r="F303" s="2971">
        <v>0.14199999999999999</v>
      </c>
      <c r="G303" s="2972">
        <v>0.15</v>
      </c>
    </row>
    <row r="304" spans="1:7">
      <c r="A304" s="2981" t="s">
        <v>306</v>
      </c>
      <c r="B304" s="2970" t="s">
        <v>2958</v>
      </c>
      <c r="C304" s="2971">
        <v>0.15</v>
      </c>
      <c r="D304" s="2971">
        <v>0.15</v>
      </c>
      <c r="E304" s="2971">
        <v>0.15</v>
      </c>
      <c r="F304" s="2971">
        <v>0.14499999999999999</v>
      </c>
      <c r="G304" s="2972">
        <v>0.15</v>
      </c>
    </row>
    <row r="305" spans="1:7">
      <c r="A305" s="2981" t="s">
        <v>306</v>
      </c>
      <c r="B305" s="2970" t="s">
        <v>2964</v>
      </c>
      <c r="C305" s="2971">
        <v>0.15</v>
      </c>
      <c r="D305" s="2971">
        <v>0.15</v>
      </c>
      <c r="E305" s="2971">
        <v>0.15</v>
      </c>
      <c r="F305" s="2971">
        <v>0.111</v>
      </c>
      <c r="G305" s="2972">
        <v>0.15</v>
      </c>
    </row>
    <row r="306" spans="1:7">
      <c r="A306" s="2981" t="s">
        <v>306</v>
      </c>
      <c r="B306" s="2970" t="s">
        <v>2971</v>
      </c>
      <c r="C306" s="2971">
        <v>0.15</v>
      </c>
      <c r="D306" s="2971">
        <v>0.15</v>
      </c>
      <c r="E306" s="2971">
        <v>0.15</v>
      </c>
      <c r="F306" s="2971">
        <v>0.126</v>
      </c>
      <c r="G306" s="2972">
        <v>0.15</v>
      </c>
    </row>
    <row r="307" spans="1:7">
      <c r="A307" s="2981" t="s">
        <v>306</v>
      </c>
      <c r="B307" s="2970" t="s">
        <v>2976</v>
      </c>
      <c r="C307" s="2971">
        <v>0.15</v>
      </c>
      <c r="D307" s="2971">
        <v>0.15</v>
      </c>
      <c r="E307" s="2971">
        <v>0.15</v>
      </c>
      <c r="F307" s="2971">
        <v>0.12</v>
      </c>
      <c r="G307" s="2972">
        <v>0.15</v>
      </c>
    </row>
    <row r="308" spans="1:7">
      <c r="A308" s="2981" t="s">
        <v>306</v>
      </c>
      <c r="B308" s="2970" t="s">
        <v>2982</v>
      </c>
      <c r="C308" s="2971">
        <v>0.15</v>
      </c>
      <c r="D308" s="2971">
        <v>0.15</v>
      </c>
      <c r="E308" s="2971">
        <v>0.15</v>
      </c>
      <c r="F308" s="2971">
        <v>0.13</v>
      </c>
      <c r="G308" s="2972">
        <v>0.15</v>
      </c>
    </row>
    <row r="309" spans="1:7">
      <c r="A309" s="2981" t="s">
        <v>306</v>
      </c>
      <c r="B309" s="2970" t="s">
        <v>2986</v>
      </c>
      <c r="C309" s="2971">
        <v>0.15</v>
      </c>
      <c r="D309" s="2971">
        <v>0.15</v>
      </c>
      <c r="E309" s="2971">
        <v>0.15</v>
      </c>
      <c r="F309" s="2971">
        <v>0.14099999999999999</v>
      </c>
      <c r="G309" s="2972">
        <v>0.15</v>
      </c>
    </row>
    <row r="310" spans="1:7">
      <c r="A310" s="2981" t="s">
        <v>306</v>
      </c>
      <c r="B310" s="2970" t="s">
        <v>2991</v>
      </c>
      <c r="C310" s="2971">
        <v>0.15</v>
      </c>
      <c r="D310" s="2971">
        <v>0.15</v>
      </c>
      <c r="E310" s="2971">
        <v>0.15</v>
      </c>
      <c r="F310" s="2971">
        <v>0.15</v>
      </c>
      <c r="G310" s="2972">
        <v>0.15</v>
      </c>
    </row>
    <row r="311" spans="1:7">
      <c r="A311" s="2981" t="s">
        <v>306</v>
      </c>
      <c r="B311" s="2970" t="s">
        <v>2996</v>
      </c>
      <c r="C311" s="2971">
        <v>0.13200000000000001</v>
      </c>
      <c r="D311" s="2971">
        <v>0.13300000000000001</v>
      </c>
      <c r="E311" s="2971">
        <v>0.14499999999999999</v>
      </c>
      <c r="F311" s="2971">
        <v>0.14199999999999999</v>
      </c>
      <c r="G311" s="2972">
        <v>0.14000000000000001</v>
      </c>
    </row>
    <row r="312" spans="1:7">
      <c r="A312" s="2981" t="s">
        <v>306</v>
      </c>
      <c r="B312" s="2970" t="s">
        <v>3001</v>
      </c>
      <c r="C312" s="2971">
        <v>0.13800000000000001</v>
      </c>
      <c r="D312" s="2971">
        <v>0.14000000000000001</v>
      </c>
      <c r="E312" s="2971">
        <v>0.14599999999999999</v>
      </c>
      <c r="F312" s="2971">
        <v>0.14899999999999999</v>
      </c>
      <c r="G312" s="2972">
        <v>0.14199999999999999</v>
      </c>
    </row>
    <row r="313" spans="1:7">
      <c r="A313" s="2981" t="s">
        <v>306</v>
      </c>
      <c r="B313" s="2970" t="s">
        <v>3006</v>
      </c>
      <c r="C313" s="2971">
        <v>0.125</v>
      </c>
      <c r="D313" s="2971">
        <v>0.127</v>
      </c>
      <c r="E313" s="2971">
        <v>0.14399999999999999</v>
      </c>
      <c r="F313" s="2971">
        <v>0.115</v>
      </c>
      <c r="G313" s="2972">
        <v>0.13600000000000001</v>
      </c>
    </row>
    <row r="314" spans="1:7">
      <c r="A314" s="2981" t="s">
        <v>306</v>
      </c>
      <c r="B314" s="2970" t="s">
        <v>3215</v>
      </c>
      <c r="C314" s="2987"/>
      <c r="D314" s="2987"/>
      <c r="E314" s="2987"/>
      <c r="F314" s="2971">
        <v>0.05</v>
      </c>
      <c r="G314" s="2988"/>
    </row>
    <row r="315" spans="1:7">
      <c r="A315" s="2981" t="s">
        <v>306</v>
      </c>
      <c r="B315" s="2970" t="s">
        <v>3216</v>
      </c>
      <c r="C315" s="2987"/>
      <c r="D315" s="2987"/>
      <c r="E315" s="2987"/>
      <c r="F315" s="2971">
        <v>0.05</v>
      </c>
      <c r="G315" s="2988"/>
    </row>
    <row r="316" spans="1:7">
      <c r="A316" s="2981" t="s">
        <v>306</v>
      </c>
      <c r="B316" s="2970" t="s">
        <v>3217</v>
      </c>
      <c r="C316" s="2982"/>
      <c r="D316" s="2982"/>
      <c r="E316" s="2982"/>
      <c r="F316" s="2971">
        <v>0.05</v>
      </c>
      <c r="G316" s="2988"/>
    </row>
    <row r="317" spans="1:7">
      <c r="A317" s="2981" t="s">
        <v>306</v>
      </c>
      <c r="B317" s="2970" t="s">
        <v>3218</v>
      </c>
      <c r="C317" s="2982"/>
      <c r="D317" s="2982"/>
      <c r="E317" s="2982"/>
      <c r="F317" s="2971">
        <v>0.05</v>
      </c>
      <c r="G317" s="2988"/>
    </row>
    <row r="318" spans="1:7">
      <c r="A318" s="2981" t="s">
        <v>306</v>
      </c>
      <c r="B318" s="2970" t="s">
        <v>3219</v>
      </c>
      <c r="C318" s="2982"/>
      <c r="D318" s="2982"/>
      <c r="E318" s="2982"/>
      <c r="F318" s="2971">
        <v>0.05</v>
      </c>
      <c r="G318" s="2988"/>
    </row>
    <row r="319" spans="1:7">
      <c r="A319" s="2981" t="s">
        <v>306</v>
      </c>
      <c r="B319" s="2970" t="s">
        <v>3220</v>
      </c>
      <c r="C319" s="2982"/>
      <c r="D319" s="2982"/>
      <c r="E319" s="2982"/>
      <c r="F319" s="2971">
        <v>0.05</v>
      </c>
      <c r="G319" s="2988"/>
    </row>
    <row r="320" spans="1:7">
      <c r="A320" s="2981" t="s">
        <v>306</v>
      </c>
      <c r="B320" s="2970" t="s">
        <v>3221</v>
      </c>
      <c r="C320" s="2982"/>
      <c r="D320" s="2982"/>
      <c r="E320" s="2982"/>
      <c r="F320" s="2971">
        <v>0.05</v>
      </c>
      <c r="G320" s="2988"/>
    </row>
    <row r="321" spans="1:7">
      <c r="A321" s="2981" t="s">
        <v>306</v>
      </c>
      <c r="B321" s="2970" t="s">
        <v>3222</v>
      </c>
      <c r="C321" s="2982"/>
      <c r="D321" s="2982"/>
      <c r="E321" s="2982"/>
      <c r="F321" s="2971">
        <v>0.05</v>
      </c>
      <c r="G321" s="2988"/>
    </row>
    <row r="322" spans="1:7">
      <c r="A322" s="2981" t="s">
        <v>306</v>
      </c>
      <c r="B322" s="2970" t="s">
        <v>3223</v>
      </c>
      <c r="C322" s="2982"/>
      <c r="D322" s="2982"/>
      <c r="E322" s="2982"/>
      <c r="F322" s="2971">
        <v>0.05</v>
      </c>
      <c r="G322" s="2988"/>
    </row>
    <row r="323" spans="1:7">
      <c r="A323" s="2981" t="s">
        <v>306</v>
      </c>
      <c r="B323" s="2970" t="s">
        <v>3224</v>
      </c>
      <c r="C323" s="2982"/>
      <c r="D323" s="2982"/>
      <c r="E323" s="2982"/>
      <c r="F323" s="2971">
        <v>0.05</v>
      </c>
      <c r="G323" s="2988"/>
    </row>
    <row r="324" spans="1:7">
      <c r="A324" s="2981" t="s">
        <v>306</v>
      </c>
      <c r="B324" s="2970" t="s">
        <v>3225</v>
      </c>
      <c r="C324" s="2982"/>
      <c r="D324" s="2982"/>
      <c r="E324" s="2982"/>
      <c r="F324" s="2971">
        <v>0.05</v>
      </c>
      <c r="G324" s="2988"/>
    </row>
    <row r="325" spans="1:7">
      <c r="A325" s="2981" t="s">
        <v>306</v>
      </c>
      <c r="B325" s="2970" t="s">
        <v>3226</v>
      </c>
      <c r="C325" s="2982"/>
      <c r="D325" s="2982"/>
      <c r="E325" s="2982"/>
      <c r="F325" s="2971">
        <v>0.05</v>
      </c>
      <c r="G325" s="2988"/>
    </row>
    <row r="326" spans="1:7" ht="14.25" thickBot="1">
      <c r="A326" s="2984" t="s">
        <v>306</v>
      </c>
      <c r="B326" s="2974" t="s">
        <v>3227</v>
      </c>
      <c r="C326" s="2976"/>
      <c r="D326" s="2976"/>
      <c r="E326" s="2976"/>
      <c r="F326" s="2975">
        <v>0.05</v>
      </c>
      <c r="G326" s="2989"/>
    </row>
    <row r="327" spans="1:7">
      <c r="A327" s="2980" t="s">
        <v>307</v>
      </c>
      <c r="B327" s="2966" t="s">
        <v>2859</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2871</v>
      </c>
      <c r="C329" s="2971">
        <v>0.15</v>
      </c>
      <c r="D329" s="2971">
        <v>0.15</v>
      </c>
      <c r="E329" s="2971">
        <v>0.15</v>
      </c>
      <c r="F329" s="2971">
        <v>0.15</v>
      </c>
      <c r="G329" s="2972">
        <v>0.15</v>
      </c>
    </row>
    <row r="330" spans="1:7">
      <c r="A330" s="2981" t="s">
        <v>307</v>
      </c>
      <c r="B330" s="2970" t="s">
        <v>2875</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2883</v>
      </c>
      <c r="C332" s="2971">
        <v>0.15</v>
      </c>
      <c r="D332" s="2971">
        <v>0.15</v>
      </c>
      <c r="E332" s="2971">
        <v>0.15</v>
      </c>
      <c r="F332" s="2971">
        <v>0.15</v>
      </c>
      <c r="G332" s="2972">
        <v>0.15</v>
      </c>
    </row>
    <row r="333" spans="1:7">
      <c r="A333" s="2981" t="s">
        <v>307</v>
      </c>
      <c r="B333" s="2970" t="s">
        <v>2887</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2893</v>
      </c>
      <c r="C336" s="2971">
        <v>0.15</v>
      </c>
      <c r="D336" s="2971">
        <v>0.15</v>
      </c>
      <c r="E336" s="2971">
        <v>0.15</v>
      </c>
      <c r="F336" s="2971">
        <v>0.14199999999999999</v>
      </c>
      <c r="G336" s="2972">
        <v>0.15</v>
      </c>
    </row>
    <row r="337" spans="1:7">
      <c r="A337" s="2981" t="s">
        <v>307</v>
      </c>
      <c r="B337" s="2970" t="s">
        <v>2898</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2905</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2910</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2918</v>
      </c>
      <c r="C345" s="2971">
        <v>0.15</v>
      </c>
      <c r="D345" s="2971">
        <v>0.15</v>
      </c>
      <c r="E345" s="2971">
        <v>0.15</v>
      </c>
      <c r="F345" s="2971">
        <v>0.13800000000000001</v>
      </c>
      <c r="G345" s="2972">
        <v>0.15</v>
      </c>
    </row>
    <row r="346" spans="1:7">
      <c r="A346" s="2981" t="s">
        <v>307</v>
      </c>
      <c r="B346" s="2970" t="s">
        <v>2920</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2927</v>
      </c>
      <c r="C348" s="2971">
        <v>0.15</v>
      </c>
      <c r="D348" s="2971">
        <v>0.15</v>
      </c>
      <c r="E348" s="2971">
        <v>0.15</v>
      </c>
      <c r="F348" s="2971">
        <v>0.14399999999999999</v>
      </c>
      <c r="G348" s="2972">
        <v>0.15</v>
      </c>
    </row>
    <row r="349" spans="1:7">
      <c r="A349" s="2981" t="s">
        <v>307</v>
      </c>
      <c r="B349" s="2970" t="s">
        <v>2932</v>
      </c>
      <c r="C349" s="2971">
        <v>0.15</v>
      </c>
      <c r="D349" s="2971">
        <v>0.15</v>
      </c>
      <c r="E349" s="2971">
        <v>0.15</v>
      </c>
      <c r="F349" s="2971">
        <v>0.15</v>
      </c>
      <c r="G349" s="2972">
        <v>0.15</v>
      </c>
    </row>
    <row r="350" spans="1:7">
      <c r="A350" s="2981" t="s">
        <v>307</v>
      </c>
      <c r="B350" s="2970" t="s">
        <v>2935</v>
      </c>
      <c r="C350" s="2971">
        <v>0.15</v>
      </c>
      <c r="D350" s="2971">
        <v>0.15</v>
      </c>
      <c r="E350" s="2971">
        <v>0.15</v>
      </c>
      <c r="F350" s="2971">
        <v>0.14699999999999999</v>
      </c>
      <c r="G350" s="2972">
        <v>0.15</v>
      </c>
    </row>
    <row r="351" spans="1:7">
      <c r="A351" s="2981" t="s">
        <v>307</v>
      </c>
      <c r="B351" s="2970" t="s">
        <v>2940</v>
      </c>
      <c r="C351" s="2971">
        <v>0.15</v>
      </c>
      <c r="D351" s="2971">
        <v>0.15</v>
      </c>
      <c r="E351" s="2971">
        <v>0.15</v>
      </c>
      <c r="F351" s="2971">
        <v>0.13</v>
      </c>
      <c r="G351" s="2972">
        <v>0.15</v>
      </c>
    </row>
    <row r="352" spans="1:7">
      <c r="A352" s="2981" t="s">
        <v>307</v>
      </c>
      <c r="B352" s="2970" t="s">
        <v>2945</v>
      </c>
      <c r="C352" s="2971">
        <v>0.15</v>
      </c>
      <c r="D352" s="2971">
        <v>0.15</v>
      </c>
      <c r="E352" s="2971">
        <v>0.15</v>
      </c>
      <c r="F352" s="2971">
        <v>0.14599999999999999</v>
      </c>
      <c r="G352" s="2972">
        <v>0.15</v>
      </c>
    </row>
    <row r="353" spans="1:7">
      <c r="A353" s="2981" t="s">
        <v>307</v>
      </c>
      <c r="B353" s="2970" t="s">
        <v>2952</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2965</v>
      </c>
      <c r="C355" s="2971">
        <v>0.15</v>
      </c>
      <c r="D355" s="2971">
        <v>0.15</v>
      </c>
      <c r="E355" s="2971">
        <v>0.15</v>
      </c>
      <c r="F355" s="2971">
        <v>0.15</v>
      </c>
      <c r="G355" s="2972">
        <v>0.15</v>
      </c>
    </row>
    <row r="356" spans="1:7">
      <c r="A356" s="2981" t="s">
        <v>307</v>
      </c>
      <c r="B356" s="2970" t="s">
        <v>2972</v>
      </c>
      <c r="C356" s="2971">
        <v>0.15</v>
      </c>
      <c r="D356" s="2971">
        <v>0.15</v>
      </c>
      <c r="E356" s="2971">
        <v>0.15</v>
      </c>
      <c r="F356" s="2971">
        <v>0.15</v>
      </c>
      <c r="G356" s="2972">
        <v>0.15</v>
      </c>
    </row>
    <row r="357" spans="1:7" ht="14.25" thickBot="1">
      <c r="A357" s="2984" t="s">
        <v>307</v>
      </c>
      <c r="B357" s="2974" t="s">
        <v>2977</v>
      </c>
      <c r="C357" s="2975">
        <v>0.126</v>
      </c>
      <c r="D357" s="2975">
        <v>0.127</v>
      </c>
      <c r="E357" s="2975">
        <v>0.14299999999999999</v>
      </c>
      <c r="F357" s="2975">
        <v>0.125</v>
      </c>
      <c r="G357" s="2977">
        <v>0.129</v>
      </c>
    </row>
    <row r="358" spans="1:7">
      <c r="A358" s="2980" t="s">
        <v>2846</v>
      </c>
      <c r="B358" s="2966" t="s">
        <v>2860</v>
      </c>
      <c r="C358" s="2967">
        <v>0.15</v>
      </c>
      <c r="D358" s="2967">
        <v>0.15</v>
      </c>
      <c r="E358" s="2967">
        <v>0.15</v>
      </c>
      <c r="F358" s="2967">
        <v>0.15</v>
      </c>
      <c r="G358" s="2968">
        <v>0.15</v>
      </c>
    </row>
    <row r="359" spans="1:7">
      <c r="A359" s="2981" t="s">
        <v>2846</v>
      </c>
      <c r="B359" s="2970" t="s">
        <v>2866</v>
      </c>
      <c r="C359" s="2971">
        <v>0.1</v>
      </c>
      <c r="D359" s="2971">
        <v>0.1</v>
      </c>
      <c r="E359" s="2971">
        <v>0.1</v>
      </c>
      <c r="F359" s="2971">
        <v>0.1</v>
      </c>
      <c r="G359" s="2972">
        <v>0.1</v>
      </c>
    </row>
    <row r="360" spans="1:7">
      <c r="A360" s="2981" t="s">
        <v>2846</v>
      </c>
      <c r="B360" s="2970" t="s">
        <v>2872</v>
      </c>
      <c r="C360" s="2971">
        <v>0.15</v>
      </c>
      <c r="D360" s="2971">
        <v>0.15</v>
      </c>
      <c r="E360" s="2971">
        <v>0.15</v>
      </c>
      <c r="F360" s="2971">
        <v>0.14899999999999999</v>
      </c>
      <c r="G360" s="2972">
        <v>0.15</v>
      </c>
    </row>
    <row r="361" spans="1:7">
      <c r="A361" s="2981" t="s">
        <v>2846</v>
      </c>
      <c r="B361" s="2970" t="s">
        <v>153</v>
      </c>
      <c r="C361" s="2971">
        <v>0.15</v>
      </c>
      <c r="D361" s="2971">
        <v>0.15</v>
      </c>
      <c r="E361" s="2971">
        <v>0.15</v>
      </c>
      <c r="F361" s="2971">
        <v>0.115</v>
      </c>
      <c r="G361" s="2972">
        <v>0.15</v>
      </c>
    </row>
    <row r="362" spans="1:7">
      <c r="A362" s="2981" t="s">
        <v>2846</v>
      </c>
      <c r="B362" s="2970" t="s">
        <v>2879</v>
      </c>
      <c r="C362" s="2971">
        <v>0.15</v>
      </c>
      <c r="D362" s="2971">
        <v>0.15</v>
      </c>
      <c r="E362" s="2971">
        <v>0.15</v>
      </c>
      <c r="F362" s="2971">
        <v>0.106</v>
      </c>
      <c r="G362" s="2972">
        <v>0.15</v>
      </c>
    </row>
    <row r="363" spans="1:7">
      <c r="A363" s="2981" t="s">
        <v>2846</v>
      </c>
      <c r="B363" s="2970" t="s">
        <v>2884</v>
      </c>
      <c r="C363" s="2971">
        <v>0.15</v>
      </c>
      <c r="D363" s="2971">
        <v>0.15</v>
      </c>
      <c r="E363" s="2971">
        <v>0.15</v>
      </c>
      <c r="F363" s="2971">
        <v>0.14699999999999999</v>
      </c>
      <c r="G363" s="2972">
        <v>0.15</v>
      </c>
    </row>
    <row r="364" spans="1:7">
      <c r="A364" s="2981" t="s">
        <v>2846</v>
      </c>
      <c r="B364" s="2970" t="s">
        <v>2888</v>
      </c>
      <c r="C364" s="2971">
        <v>0.15</v>
      </c>
      <c r="D364" s="2971">
        <v>0.15</v>
      </c>
      <c r="E364" s="2971">
        <v>0.15</v>
      </c>
      <c r="F364" s="2971">
        <v>0.14799999999999999</v>
      </c>
      <c r="G364" s="2972">
        <v>0.15</v>
      </c>
    </row>
    <row r="365" spans="1:7">
      <c r="A365" s="2981" t="s">
        <v>2846</v>
      </c>
      <c r="B365" s="2970" t="s">
        <v>200</v>
      </c>
      <c r="C365" s="2971">
        <v>0.15</v>
      </c>
      <c r="D365" s="2971">
        <v>0.15</v>
      </c>
      <c r="E365" s="2971">
        <v>0.15</v>
      </c>
      <c r="F365" s="2971">
        <v>0.15</v>
      </c>
      <c r="G365" s="2972">
        <v>0.15</v>
      </c>
    </row>
    <row r="366" spans="1:7">
      <c r="A366" s="2981" t="s">
        <v>2846</v>
      </c>
      <c r="B366" s="2970" t="s">
        <v>2891</v>
      </c>
      <c r="C366" s="2971">
        <v>0.15</v>
      </c>
      <c r="D366" s="2971">
        <v>0.15</v>
      </c>
      <c r="E366" s="2971">
        <v>0.15</v>
      </c>
      <c r="F366" s="2971">
        <v>0.15</v>
      </c>
      <c r="G366" s="2972">
        <v>0.15</v>
      </c>
    </row>
    <row r="367" spans="1:7">
      <c r="A367" s="2981" t="s">
        <v>2846</v>
      </c>
      <c r="B367" s="2970" t="s">
        <v>2894</v>
      </c>
      <c r="C367" s="2971">
        <v>0.15</v>
      </c>
      <c r="D367" s="2971">
        <v>0.15</v>
      </c>
      <c r="E367" s="2971">
        <v>0.15</v>
      </c>
      <c r="F367" s="2971">
        <v>0.14699999999999999</v>
      </c>
      <c r="G367" s="2972">
        <v>0.15</v>
      </c>
    </row>
    <row r="368" spans="1:7">
      <c r="A368" s="2981" t="s">
        <v>2846</v>
      </c>
      <c r="B368" s="2970" t="s">
        <v>2899</v>
      </c>
      <c r="C368" s="2971">
        <v>0.15</v>
      </c>
      <c r="D368" s="2971">
        <v>0.15</v>
      </c>
      <c r="E368" s="2971">
        <v>0.15</v>
      </c>
      <c r="F368" s="2971">
        <v>0.13600000000000001</v>
      </c>
      <c r="G368" s="2972">
        <v>0.15</v>
      </c>
    </row>
    <row r="369" spans="1:7">
      <c r="A369" s="2981" t="s">
        <v>2846</v>
      </c>
      <c r="B369" s="2970" t="s">
        <v>214</v>
      </c>
      <c r="C369" s="2971">
        <v>0.15</v>
      </c>
      <c r="D369" s="2971">
        <v>0.15</v>
      </c>
      <c r="E369" s="2971">
        <v>0.15</v>
      </c>
      <c r="F369" s="2971">
        <v>0.14399999999999999</v>
      </c>
      <c r="G369" s="2972">
        <v>0.15</v>
      </c>
    </row>
    <row r="370" spans="1:7">
      <c r="A370" s="2981" t="s">
        <v>2846</v>
      </c>
      <c r="B370" s="2970" t="s">
        <v>221</v>
      </c>
      <c r="C370" s="2971">
        <v>0.15</v>
      </c>
      <c r="D370" s="2971">
        <v>0.15</v>
      </c>
      <c r="E370" s="2971">
        <v>0.15</v>
      </c>
      <c r="F370" s="2971">
        <v>0.14599999999999999</v>
      </c>
      <c r="G370" s="2972">
        <v>0.15</v>
      </c>
    </row>
    <row r="371" spans="1:7">
      <c r="A371" s="2981" t="s">
        <v>2846</v>
      </c>
      <c r="B371" s="2970" t="s">
        <v>229</v>
      </c>
      <c r="C371" s="2971">
        <v>0.15</v>
      </c>
      <c r="D371" s="2971">
        <v>0.15</v>
      </c>
      <c r="E371" s="2971">
        <v>0.15</v>
      </c>
      <c r="F371" s="2971">
        <v>0.12</v>
      </c>
      <c r="G371" s="2972">
        <v>0.15</v>
      </c>
    </row>
    <row r="372" spans="1:7">
      <c r="A372" s="2981" t="s">
        <v>2846</v>
      </c>
      <c r="B372" s="2970" t="s">
        <v>2907</v>
      </c>
      <c r="C372" s="2971">
        <v>0.15</v>
      </c>
      <c r="D372" s="2971">
        <v>0.15</v>
      </c>
      <c r="E372" s="2971">
        <v>0.15</v>
      </c>
      <c r="F372" s="2971">
        <v>0.14299999999999999</v>
      </c>
      <c r="G372" s="2972">
        <v>0.15</v>
      </c>
    </row>
    <row r="373" spans="1:7">
      <c r="A373" s="2981" t="s">
        <v>2846</v>
      </c>
      <c r="B373" s="2970" t="s">
        <v>258</v>
      </c>
      <c r="C373" s="2971">
        <v>0.15</v>
      </c>
      <c r="D373" s="2971">
        <v>0.15</v>
      </c>
      <c r="E373" s="2971">
        <v>0.15</v>
      </c>
      <c r="F373" s="2971">
        <v>0.14599999999999999</v>
      </c>
      <c r="G373" s="2972">
        <v>0.15</v>
      </c>
    </row>
    <row r="374" spans="1:7">
      <c r="A374" s="2981" t="s">
        <v>2846</v>
      </c>
      <c r="B374" s="2970" t="s">
        <v>266</v>
      </c>
      <c r="C374" s="2971">
        <v>0.15</v>
      </c>
      <c r="D374" s="2971">
        <v>0.15</v>
      </c>
      <c r="E374" s="2971">
        <v>0.15</v>
      </c>
      <c r="F374" s="2971">
        <v>0.14399999999999999</v>
      </c>
      <c r="G374" s="2972">
        <v>0.15</v>
      </c>
    </row>
    <row r="375" spans="1:7">
      <c r="A375" s="2981" t="s">
        <v>2846</v>
      </c>
      <c r="B375" s="2970" t="s">
        <v>2915</v>
      </c>
      <c r="C375" s="2971">
        <v>0.15</v>
      </c>
      <c r="D375" s="2971">
        <v>0.15</v>
      </c>
      <c r="E375" s="2971">
        <v>0.15</v>
      </c>
      <c r="F375" s="2971">
        <v>0.13</v>
      </c>
      <c r="G375" s="2972">
        <v>0.15</v>
      </c>
    </row>
    <row r="376" spans="1:7">
      <c r="A376" s="2981" t="s">
        <v>2846</v>
      </c>
      <c r="B376" s="2970" t="s">
        <v>277</v>
      </c>
      <c r="C376" s="2971">
        <v>0.15</v>
      </c>
      <c r="D376" s="2971">
        <v>0.15</v>
      </c>
      <c r="E376" s="2971">
        <v>0.15</v>
      </c>
      <c r="F376" s="2971">
        <v>0.14199999999999999</v>
      </c>
      <c r="G376" s="2972">
        <v>0.15</v>
      </c>
    </row>
    <row r="377" spans="1:7" ht="14.25" thickBot="1">
      <c r="A377" s="2984" t="s">
        <v>2846</v>
      </c>
      <c r="B377" s="2974" t="s">
        <v>2921</v>
      </c>
      <c r="C377" s="2975">
        <v>0.15</v>
      </c>
      <c r="D377" s="2975">
        <v>0.15</v>
      </c>
      <c r="E377" s="2975">
        <v>0.15</v>
      </c>
      <c r="F377" s="2975">
        <v>0.14000000000000001</v>
      </c>
      <c r="G377" s="2977">
        <v>0.15</v>
      </c>
    </row>
    <row r="378" spans="1:7">
      <c r="A378" s="2980" t="s">
        <v>2847</v>
      </c>
      <c r="B378" s="2966" t="s">
        <v>2861</v>
      </c>
      <c r="C378" s="2967">
        <v>0.15</v>
      </c>
      <c r="D378" s="2967">
        <v>0.15</v>
      </c>
      <c r="E378" s="2967">
        <v>0.15</v>
      </c>
      <c r="F378" s="2967">
        <v>0.107</v>
      </c>
      <c r="G378" s="2968">
        <v>0.15</v>
      </c>
    </row>
    <row r="379" spans="1:7">
      <c r="A379" s="2981" t="s">
        <v>2847</v>
      </c>
      <c r="B379" s="2970" t="s">
        <v>2867</v>
      </c>
      <c r="C379" s="2971">
        <v>0.15</v>
      </c>
      <c r="D379" s="2971">
        <v>0.15</v>
      </c>
      <c r="E379" s="2971">
        <v>0.15</v>
      </c>
      <c r="F379" s="2971">
        <v>0.115</v>
      </c>
      <c r="G379" s="2972">
        <v>0.14899999999999999</v>
      </c>
    </row>
    <row r="380" spans="1:7">
      <c r="A380" s="2981" t="s">
        <v>2847</v>
      </c>
      <c r="B380" s="2970" t="s">
        <v>2873</v>
      </c>
      <c r="C380" s="2971">
        <v>0.15</v>
      </c>
      <c r="D380" s="2971">
        <v>0.15</v>
      </c>
      <c r="E380" s="2971">
        <v>0.15</v>
      </c>
      <c r="F380" s="2971">
        <v>0.1</v>
      </c>
      <c r="G380" s="2972">
        <v>0.14799999999999999</v>
      </c>
    </row>
    <row r="381" spans="1:7">
      <c r="A381" s="2981" t="s">
        <v>2847</v>
      </c>
      <c r="B381" s="2970" t="s">
        <v>2876</v>
      </c>
      <c r="C381" s="2971">
        <v>0.15</v>
      </c>
      <c r="D381" s="2971">
        <v>0.15</v>
      </c>
      <c r="E381" s="2971">
        <v>0.15</v>
      </c>
      <c r="F381" s="2971">
        <v>0.126</v>
      </c>
      <c r="G381" s="2972">
        <v>0.15</v>
      </c>
    </row>
    <row r="382" spans="1:7">
      <c r="A382" s="2981" t="s">
        <v>2847</v>
      </c>
      <c r="B382" s="2970" t="s">
        <v>2880</v>
      </c>
      <c r="C382" s="2971">
        <v>0.15</v>
      </c>
      <c r="D382" s="2971">
        <v>0.15</v>
      </c>
      <c r="E382" s="2971">
        <v>0.15</v>
      </c>
      <c r="F382" s="2971">
        <v>0.15</v>
      </c>
      <c r="G382" s="2972">
        <v>0.15</v>
      </c>
    </row>
    <row r="383" spans="1:7">
      <c r="A383" s="2981" t="s">
        <v>2847</v>
      </c>
      <c r="B383" s="2970" t="s">
        <v>2885</v>
      </c>
      <c r="C383" s="2971">
        <v>0.15</v>
      </c>
      <c r="D383" s="2971">
        <v>0.15</v>
      </c>
      <c r="E383" s="2971">
        <v>0.15</v>
      </c>
      <c r="F383" s="2971">
        <v>0.14699999999999999</v>
      </c>
      <c r="G383" s="2972">
        <v>0.15</v>
      </c>
    </row>
    <row r="384" spans="1:7" ht="14.25" thickBot="1">
      <c r="A384" s="2991" t="s">
        <v>2847</v>
      </c>
      <c r="B384" s="2992" t="s">
        <v>2889</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6"/>
  </cols>
  <sheetData>
    <row r="1" spans="1:6" ht="14.25">
      <c r="A1" s="3508" t="s">
        <v>3228</v>
      </c>
      <c r="B1" s="3508"/>
      <c r="C1" s="3508"/>
      <c r="D1" s="3508"/>
      <c r="E1" s="3508"/>
      <c r="F1" s="3509"/>
    </row>
    <row r="2" spans="1:6" ht="14.25">
      <c r="A2" s="2995" t="s">
        <v>3229</v>
      </c>
    </row>
    <row r="3" spans="1:6" ht="14.25">
      <c r="A3" s="2995" t="s">
        <v>3230</v>
      </c>
      <c r="F3" s="2996" t="s">
        <v>3231</v>
      </c>
    </row>
    <row r="4" spans="1:6">
      <c r="A4" s="2997" t="s">
        <v>672</v>
      </c>
      <c r="B4" s="2997" t="s">
        <v>673</v>
      </c>
      <c r="C4" s="2997" t="s">
        <v>21</v>
      </c>
      <c r="D4" s="2997" t="s">
        <v>674</v>
      </c>
      <c r="E4" s="2997" t="s">
        <v>3</v>
      </c>
      <c r="F4" s="2997" t="s">
        <v>3232</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0">
        <f>'基准地价修正-商业'!G23</f>
        <v>45940</v>
      </c>
      <c r="B1" s="2922" t="s">
        <v>3373</v>
      </c>
      <c r="C1" s="2923"/>
      <c r="D1" s="2923"/>
      <c r="E1" s="2923"/>
      <c r="F1" s="2923"/>
      <c r="G1" s="2923"/>
      <c r="H1" s="2923"/>
      <c r="I1" s="2923"/>
      <c r="J1" s="2889"/>
      <c r="K1" s="2923" t="s">
        <v>454</v>
      </c>
      <c r="L1" s="2923"/>
      <c r="M1" s="2923"/>
      <c r="N1" s="2923"/>
      <c r="O1" s="2923"/>
      <c r="P1" s="2923"/>
      <c r="Q1" s="2889"/>
      <c r="R1" s="3510" t="s">
        <v>456</v>
      </c>
      <c r="S1" s="3511"/>
      <c r="T1" s="3511"/>
      <c r="U1" s="3511"/>
      <c r="V1" s="3511"/>
      <c r="W1" s="3511"/>
      <c r="X1" s="2889"/>
      <c r="Y1" s="3510" t="s">
        <v>457</v>
      </c>
      <c r="Z1" s="3511"/>
      <c r="AA1" s="3511"/>
      <c r="AB1" s="3511"/>
      <c r="AC1" s="3511"/>
      <c r="AD1" s="3511"/>
    </row>
    <row r="2" spans="1:44" s="2004" customFormat="1" ht="14.25" thickBot="1">
      <c r="B2" s="2874"/>
      <c r="C2" s="2875"/>
      <c r="D2" s="2005" t="s">
        <v>2806</v>
      </c>
      <c r="E2" s="2006" t="s">
        <v>2807</v>
      </c>
      <c r="F2" s="2006" t="s">
        <v>2808</v>
      </c>
      <c r="G2" s="2006" t="s">
        <v>2809</v>
      </c>
      <c r="H2" s="2006" t="s">
        <v>2810</v>
      </c>
      <c r="I2" s="2006" t="s">
        <v>2627</v>
      </c>
      <c r="J2" s="2876"/>
      <c r="K2" s="2005" t="s">
        <v>2806</v>
      </c>
      <c r="L2" s="2006" t="s">
        <v>2807</v>
      </c>
      <c r="M2" s="2006" t="s">
        <v>2808</v>
      </c>
      <c r="N2" s="2006" t="s">
        <v>2809</v>
      </c>
      <c r="O2" s="2006" t="s">
        <v>2811</v>
      </c>
      <c r="P2" s="2006" t="s">
        <v>2627</v>
      </c>
      <c r="Q2" s="2876"/>
      <c r="R2" s="2005" t="s">
        <v>2806</v>
      </c>
      <c r="S2" s="2006" t="s">
        <v>2807</v>
      </c>
      <c r="T2" s="2006" t="s">
        <v>2808</v>
      </c>
      <c r="U2" s="2006" t="s">
        <v>2812</v>
      </c>
      <c r="V2" s="2006" t="s">
        <v>2813</v>
      </c>
      <c r="W2" s="2006" t="s">
        <v>2627</v>
      </c>
      <c r="X2" s="2876"/>
      <c r="Y2" s="2005" t="s">
        <v>2806</v>
      </c>
      <c r="Z2" s="2006" t="s">
        <v>2807</v>
      </c>
      <c r="AA2" s="2006" t="s">
        <v>2808</v>
      </c>
      <c r="AB2" s="2006" t="s">
        <v>2814</v>
      </c>
      <c r="AC2" s="2006" t="s">
        <v>2813</v>
      </c>
      <c r="AD2" s="2006" t="s">
        <v>2627</v>
      </c>
      <c r="AF2" t="s">
        <v>3400</v>
      </c>
      <c r="AG2" t="s">
        <v>673</v>
      </c>
      <c r="AH2" t="s">
        <v>21</v>
      </c>
      <c r="AI2" t="s">
        <v>3401</v>
      </c>
      <c r="AJ2" t="s">
        <v>3</v>
      </c>
      <c r="AK2" t="s">
        <v>3402</v>
      </c>
      <c r="AM2" t="s">
        <v>3400</v>
      </c>
      <c r="AN2" t="s">
        <v>673</v>
      </c>
      <c r="AO2" t="s">
        <v>21</v>
      </c>
      <c r="AP2" t="s">
        <v>3401</v>
      </c>
      <c r="AQ2" t="s">
        <v>3</v>
      </c>
      <c r="AR2" t="s">
        <v>3402</v>
      </c>
    </row>
    <row r="3" spans="1:44" s="2879" customFormat="1" ht="12.75">
      <c r="A3" s="2877" t="s">
        <v>2815</v>
      </c>
      <c r="B3" s="2878"/>
      <c r="D3" s="2879">
        <f>ROUND(AVERAGEIF(D4:D24,"&lt;&gt;0"),2)</f>
        <v>0.37</v>
      </c>
      <c r="E3" s="2879">
        <f t="shared" ref="E3:H3" si="0">ROUND(AVERAGEIF(E4:E24,"&lt;&gt;0"),2)</f>
        <v>0.16</v>
      </c>
      <c r="F3" s="2879">
        <f t="shared" si="0"/>
        <v>-0.12</v>
      </c>
      <c r="G3" s="2879">
        <f t="shared" si="0"/>
        <v>0.44</v>
      </c>
      <c r="H3" s="2879">
        <f t="shared" si="0"/>
        <v>0.5</v>
      </c>
      <c r="I3" s="2879">
        <f>F3</f>
        <v>-0.12</v>
      </c>
      <c r="J3" s="2880"/>
      <c r="K3" s="2881">
        <f>ROUND(AVERAGEIF(K4:K24,"&lt;&gt;0"),4)</f>
        <v>3.7000000000000002E-3</v>
      </c>
      <c r="L3" s="2882">
        <f t="shared" ref="L3:O3" si="1">ROUND(AVERAGEIF(L4:L24,"&lt;&gt;0"),4)</f>
        <v>1.6000000000000001E-3</v>
      </c>
      <c r="M3" s="2882">
        <f t="shared" si="1"/>
        <v>-1.1999999999999999E-3</v>
      </c>
      <c r="N3" s="2882">
        <f t="shared" si="1"/>
        <v>4.4000000000000003E-3</v>
      </c>
      <c r="O3" s="2882">
        <f t="shared" si="1"/>
        <v>5.0000000000000001E-3</v>
      </c>
      <c r="P3" s="2882">
        <f>M3</f>
        <v>-1.1999999999999999E-3</v>
      </c>
      <c r="Q3" s="2880"/>
      <c r="R3" s="2883">
        <f>ROUND(SUMPRODUCT(PRODUCT(1+K4:K24)),4)</f>
        <v>1.0680000000000001</v>
      </c>
      <c r="S3" s="2884">
        <f t="shared" ref="S3:V3" si="2">ROUND(SUMPRODUCT(PRODUCT(1+L4:L24)),4)</f>
        <v>1.0290999999999999</v>
      </c>
      <c r="T3" s="2884">
        <f t="shared" si="2"/>
        <v>0.97850000000000004</v>
      </c>
      <c r="U3" s="2884">
        <f t="shared" si="2"/>
        <v>1.0807</v>
      </c>
      <c r="V3" s="2884">
        <f t="shared" si="2"/>
        <v>1.093</v>
      </c>
      <c r="W3" s="2883">
        <f>T3</f>
        <v>0.97850000000000004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3399</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1.0577000000000001</v>
      </c>
      <c r="S5" s="2021">
        <f>ROUND(IF(项目基本情况!$B$8="出让",SUMPRODUCT(PRODUCT(1+L5:$L$24)),SUMPRODUCT(PRODUCT(1+L5:$L$23))),4)</f>
        <v>1.0275000000000001</v>
      </c>
      <c r="T5" s="2021">
        <f>ROUND(IF(项目基本情况!$B$8="出让",SUMPRODUCT(PRODUCT(1+M5:$M$24)),SUMPRODUCT(PRODUCT(1+M5:$M$23))),4)</f>
        <v>0.98089999999999999</v>
      </c>
      <c r="U5" s="2021">
        <f>ROUND(IF(项目基本情况!$B$8="出让",SUMPRODUCT(PRODUCT(1+N5:$N$24)),SUMPRODUCT(PRODUCT(1+N5:$N$23))),4)</f>
        <v>1.0689</v>
      </c>
      <c r="V5" s="2021">
        <f>ROUND(IF(项目基本情况!$B$8="出让",SUMPRODUCT(PRODUCT(1+O5:$O$24)),SUMPRODUCT(PRODUCT(1+O5:$O$23))),4)</f>
        <v>1.0891</v>
      </c>
      <c r="W5" s="2021">
        <f t="shared" ref="W5:W11" si="11">T5</f>
        <v>0.98089999999999999</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4">
        <f>$AF$24*R5</f>
        <v>105.77000000000001</v>
      </c>
      <c r="AG5" s="3144">
        <f t="shared" ref="AG5:AK5" si="18">$AF$24*S5</f>
        <v>102.75000000000001</v>
      </c>
      <c r="AH5" s="3144">
        <f t="shared" si="18"/>
        <v>98.09</v>
      </c>
      <c r="AI5" s="3144">
        <f t="shared" si="18"/>
        <v>106.89</v>
      </c>
      <c r="AJ5" s="3144">
        <f t="shared" si="18"/>
        <v>108.91</v>
      </c>
      <c r="AK5" s="3144">
        <f t="shared" si="18"/>
        <v>98.09</v>
      </c>
      <c r="AM5" s="3150">
        <v>100</v>
      </c>
      <c r="AN5" s="3150">
        <v>100</v>
      </c>
      <c r="AO5" s="3150">
        <v>100</v>
      </c>
      <c r="AP5" s="3150">
        <v>100</v>
      </c>
      <c r="AQ5" s="3150">
        <v>100</v>
      </c>
      <c r="AR5" s="3150">
        <v>100</v>
      </c>
    </row>
    <row r="6" spans="1:44" s="2039" customFormat="1" ht="12.75">
      <c r="A6" s="2034" t="s">
        <v>3398</v>
      </c>
      <c r="B6" s="2025">
        <v>2025</v>
      </c>
      <c r="C6" s="2036">
        <v>3</v>
      </c>
      <c r="D6" s="2001">
        <v>0</v>
      </c>
      <c r="E6" s="2001">
        <v>0</v>
      </c>
      <c r="F6" s="2001">
        <v>0</v>
      </c>
      <c r="G6" s="2001">
        <v>0</v>
      </c>
      <c r="H6" s="2001">
        <v>0</v>
      </c>
      <c r="I6" s="2002">
        <f t="shared" ref="I6" si="19">F6</f>
        <v>0</v>
      </c>
      <c r="J6" s="2899"/>
      <c r="K6" s="2037">
        <f t="shared" ref="K6" si="20">D6/100</f>
        <v>0</v>
      </c>
      <c r="L6" s="2022">
        <f t="shared" ref="L6" si="21">E6/100</f>
        <v>0</v>
      </c>
      <c r="M6" s="2022">
        <f t="shared" ref="M6" si="22">F6/100</f>
        <v>0</v>
      </c>
      <c r="N6" s="2022">
        <f t="shared" ref="N6" si="23">G6/100</f>
        <v>0</v>
      </c>
      <c r="O6" s="2022">
        <f t="shared" ref="O6" si="24">H6/100</f>
        <v>0</v>
      </c>
      <c r="P6" s="2022">
        <f t="shared" si="10"/>
        <v>0</v>
      </c>
      <c r="Q6" s="2899"/>
      <c r="R6" s="2021">
        <f>ROUND(IF(项目基本情况!$B$8="出让",SUMPRODUCT(PRODUCT(1+K6:$K$24)),SUMPRODUCT(PRODUCT(1+K6:$K$23))),4)</f>
        <v>1.0577000000000001</v>
      </c>
      <c r="S6" s="2021">
        <f>ROUND(IF(项目基本情况!$B$8="出让",SUMPRODUCT(PRODUCT(1+L6:$L$24)),SUMPRODUCT(PRODUCT(1+L6:$L$23))),4)</f>
        <v>1.0275000000000001</v>
      </c>
      <c r="T6" s="2021">
        <f>ROUND(IF(项目基本情况!$B$8="出让",SUMPRODUCT(PRODUCT(1+M6:$M$24)),SUMPRODUCT(PRODUCT(1+M6:$M$23))),4)</f>
        <v>0.98089999999999999</v>
      </c>
      <c r="U6" s="2021">
        <f>ROUND(IF(项目基本情况!$B$8="出让",SUMPRODUCT(PRODUCT(1+N6:$N$24)),SUMPRODUCT(PRODUCT(1+N6:$N$23))),4)</f>
        <v>1.0689</v>
      </c>
      <c r="V6" s="2021">
        <f>ROUND(IF(项目基本情况!$B$8="出让",SUMPRODUCT(PRODUCT(1+O6:$O$24)),SUMPRODUCT(PRODUCT(1+O6:$O$23))),4)</f>
        <v>1.0891</v>
      </c>
      <c r="W6" s="2021">
        <f t="shared" si="11"/>
        <v>0.98089999999999999</v>
      </c>
      <c r="X6" s="2899"/>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4">
        <f t="shared" ref="AF6:AF23" si="30">$AF$24*R6</f>
        <v>105.77000000000001</v>
      </c>
      <c r="AG6" s="3144">
        <f t="shared" ref="AG6:AG23" si="31">$AF$24*S6</f>
        <v>102.75000000000001</v>
      </c>
      <c r="AH6" s="3144">
        <f t="shared" ref="AH6:AH23" si="32">$AF$24*T6</f>
        <v>98.09</v>
      </c>
      <c r="AI6" s="3144">
        <f t="shared" ref="AI6:AI23" si="33">$AF$24*U6</f>
        <v>106.89</v>
      </c>
      <c r="AJ6" s="3144">
        <f t="shared" ref="AJ6:AJ23" si="34">$AF$24*V6</f>
        <v>108.91</v>
      </c>
      <c r="AK6" s="3144">
        <f t="shared" ref="AK6:AK23" si="35">$AF$24*W6</f>
        <v>98.09</v>
      </c>
      <c r="AM6" s="3144">
        <f>AM5/(1+D5/100)</f>
        <v>100</v>
      </c>
      <c r="AN6" s="3144">
        <f t="shared" ref="AN6:AR6" si="36">AN5/(1+E5/100)</f>
        <v>100</v>
      </c>
      <c r="AO6" s="3144">
        <f t="shared" si="36"/>
        <v>100</v>
      </c>
      <c r="AP6" s="3144">
        <f t="shared" si="36"/>
        <v>100</v>
      </c>
      <c r="AQ6" s="3144">
        <f t="shared" si="36"/>
        <v>100</v>
      </c>
      <c r="AR6" s="3144">
        <f t="shared" si="36"/>
        <v>100</v>
      </c>
    </row>
    <row r="7" spans="1:44" s="2909" customFormat="1" ht="12.75">
      <c r="A7" s="2900" t="s">
        <v>3397</v>
      </c>
      <c r="B7" s="2901">
        <v>2025</v>
      </c>
      <c r="C7" s="2902">
        <v>2</v>
      </c>
      <c r="D7" s="2903">
        <v>0.05</v>
      </c>
      <c r="E7" s="2903">
        <v>-0.62</v>
      </c>
      <c r="F7" s="2903">
        <v>-1.05</v>
      </c>
      <c r="G7" s="2903">
        <v>0.09</v>
      </c>
      <c r="H7" s="2904">
        <v>0.17</v>
      </c>
      <c r="I7" s="2905">
        <f t="shared" ref="I7" si="37">F7</f>
        <v>-1.05</v>
      </c>
      <c r="J7" s="2906"/>
      <c r="K7" s="2907">
        <f t="shared" ref="K7" si="38">D7/100</f>
        <v>5.0000000000000001E-4</v>
      </c>
      <c r="L7" s="2908">
        <f t="shared" ref="L7" si="39">E7/100</f>
        <v>-6.1999999999999998E-3</v>
      </c>
      <c r="M7" s="2908">
        <f t="shared" ref="M7" si="40">F7/100</f>
        <v>-1.0500000000000001E-2</v>
      </c>
      <c r="N7" s="2908">
        <f t="shared" ref="N7" si="41">G7/100</f>
        <v>8.9999999999999998E-4</v>
      </c>
      <c r="O7" s="2908">
        <f t="shared" ref="O7" si="42">H7/100</f>
        <v>1.7000000000000001E-3</v>
      </c>
      <c r="P7" s="2908">
        <f t="shared" si="10"/>
        <v>-1.0500000000000001E-2</v>
      </c>
      <c r="Q7" s="2906"/>
      <c r="R7" s="2906">
        <f>ROUND(IF(项目基本情况!$B$8="出让",SUMPRODUCT(PRODUCT(1+K7:$K$24)),SUMPRODUCT(PRODUCT(1+K7:$K$23))),4)</f>
        <v>1.0577000000000001</v>
      </c>
      <c r="S7" s="2906">
        <f>ROUND(IF(项目基本情况!$B$8="出让",SUMPRODUCT(PRODUCT(1+L7:$L$24)),SUMPRODUCT(PRODUCT(1+L7:$L$23))),4)</f>
        <v>1.0275000000000001</v>
      </c>
      <c r="T7" s="2906">
        <f>ROUND(IF(项目基本情况!$B$8="出让",SUMPRODUCT(PRODUCT(1+M7:$M$24)),SUMPRODUCT(PRODUCT(1+M7:$M$23))),4)</f>
        <v>0.98089999999999999</v>
      </c>
      <c r="U7" s="2906">
        <f>ROUND(IF(项目基本情况!$B$8="出让",SUMPRODUCT(PRODUCT(1+N7:$N$24)),SUMPRODUCT(PRODUCT(1+N7:$N$23))),4)</f>
        <v>1.0689</v>
      </c>
      <c r="V7" s="2906">
        <f>ROUND(IF(项目基本情况!$B$8="出让",SUMPRODUCT(PRODUCT(1+O7:$O$24)),SUMPRODUCT(PRODUCT(1+O7:$O$23))),4)</f>
        <v>1.0891</v>
      </c>
      <c r="W7" s="2906">
        <f t="shared" si="11"/>
        <v>0.98089999999999999</v>
      </c>
      <c r="X7" s="2906"/>
      <c r="Y7" s="2908">
        <f t="shared" si="12"/>
        <v>2.3E-3</v>
      </c>
      <c r="Z7" s="2908">
        <f t="shared" ref="Z7" si="43">IF(E7=0,0,ROUND(AVERAGE(E7:E20)/100,4))</f>
        <v>1E-3</v>
      </c>
      <c r="AA7" s="2908">
        <f t="shared" ref="AA7" si="44">IF(F7=0,0,ROUND(AVERAGE(F7:F20)/100,4))</f>
        <v>-1.9E-3</v>
      </c>
      <c r="AB7" s="2908">
        <f t="shared" ref="AB7" si="45">IF(G7=0,0,ROUND(AVERAGE(G7:G20)/100,4))</f>
        <v>2.8999999999999998E-3</v>
      </c>
      <c r="AC7" s="2908">
        <f t="shared" ref="AC7" si="46">IF(H7=0,0,ROUND(AVERAGE(H7:H20)/100,4))</f>
        <v>4.7000000000000002E-3</v>
      </c>
      <c r="AD7" s="2908">
        <f t="shared" ref="AD7" si="47">AA7</f>
        <v>-1.9E-3</v>
      </c>
      <c r="AF7" s="3145">
        <f t="shared" si="30"/>
        <v>105.77000000000001</v>
      </c>
      <c r="AG7" s="3145">
        <f t="shared" si="31"/>
        <v>102.75000000000001</v>
      </c>
      <c r="AH7" s="3145">
        <f t="shared" si="32"/>
        <v>98.09</v>
      </c>
      <c r="AI7" s="3145">
        <f t="shared" si="33"/>
        <v>106.89</v>
      </c>
      <c r="AJ7" s="3145">
        <f t="shared" si="34"/>
        <v>108.91</v>
      </c>
      <c r="AK7" s="3145">
        <f t="shared" si="35"/>
        <v>98.09</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9" customFormat="1" ht="12.75">
      <c r="A8" s="2034" t="s">
        <v>3405</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99.950024987506254</v>
      </c>
      <c r="AN8" s="3144">
        <f t="shared" si="49"/>
        <v>100.6238679814852</v>
      </c>
      <c r="AO8" s="3144">
        <f t="shared" si="50"/>
        <v>101.06114199090449</v>
      </c>
      <c r="AP8" s="3144">
        <f t="shared" si="51"/>
        <v>99.910080927165566</v>
      </c>
      <c r="AQ8" s="3144">
        <f t="shared" si="52"/>
        <v>99.830288509533787</v>
      </c>
      <c r="AR8" s="3144">
        <f t="shared" si="53"/>
        <v>101.06114199090449</v>
      </c>
    </row>
    <row r="9" spans="1:44" s="2039" customFormat="1" ht="12.75">
      <c r="A9" s="2034" t="s">
        <v>3404</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99.383538816253605</v>
      </c>
      <c r="AN9" s="3144">
        <f t="shared" si="49"/>
        <v>101.20071204011386</v>
      </c>
      <c r="AO9" s="3144">
        <f t="shared" si="50"/>
        <v>101.97895256398031</v>
      </c>
      <c r="AP9" s="3144">
        <f t="shared" si="51"/>
        <v>98.80348192955455</v>
      </c>
      <c r="AQ9" s="3144">
        <f t="shared" si="52"/>
        <v>99.412754938790869</v>
      </c>
      <c r="AR9" s="3144">
        <f t="shared" si="53"/>
        <v>101.97895256398031</v>
      </c>
    </row>
    <row r="10" spans="1:44" s="2039" customFormat="1" ht="12.75">
      <c r="A10" s="2034" t="s">
        <v>3377</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100.40769732900949</v>
      </c>
      <c r="AN10" s="3144">
        <f t="shared" si="49"/>
        <v>101.68881836828162</v>
      </c>
      <c r="AO10" s="3144">
        <f t="shared" si="50"/>
        <v>102.74957437176857</v>
      </c>
      <c r="AP10" s="3144">
        <f t="shared" si="51"/>
        <v>99.851927164784783</v>
      </c>
      <c r="AQ10" s="3144">
        <f t="shared" si="52"/>
        <v>99.333288308144361</v>
      </c>
      <c r="AR10" s="3144">
        <f t="shared" si="53"/>
        <v>102.74957437176857</v>
      </c>
    </row>
    <row r="11" spans="1:44" s="2039" customFormat="1" ht="12.75">
      <c r="A11" s="2898" t="s">
        <v>3371</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101.61693890194262</v>
      </c>
      <c r="AN11" s="3144">
        <f t="shared" si="49"/>
        <v>102.16901272810371</v>
      </c>
      <c r="AO11" s="3144">
        <f t="shared" si="50"/>
        <v>103.04841477461495</v>
      </c>
      <c r="AP11" s="3144">
        <f t="shared" si="51"/>
        <v>100.59634008138704</v>
      </c>
      <c r="AQ11" s="3144">
        <f t="shared" si="52"/>
        <v>99.542327195254401</v>
      </c>
      <c r="AR11" s="3144">
        <f t="shared" si="53"/>
        <v>103.04841477461495</v>
      </c>
    </row>
    <row r="12" spans="1:44" s="2039" customFormat="1" ht="12.75">
      <c r="A12" s="2898" t="s">
        <v>3370</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102.22003712095626</v>
      </c>
      <c r="AN12" s="3144">
        <f t="shared" si="49"/>
        <v>102.38401916835726</v>
      </c>
      <c r="AO12" s="3144">
        <f t="shared" si="50"/>
        <v>104.49038204686165</v>
      </c>
      <c r="AP12" s="3144">
        <f t="shared" si="51"/>
        <v>101.85939659921733</v>
      </c>
      <c r="AQ12" s="3144">
        <f t="shared" si="52"/>
        <v>99.205030092938401</v>
      </c>
      <c r="AR12" s="3144">
        <f t="shared" si="53"/>
        <v>104.49038204686165</v>
      </c>
    </row>
    <row r="13" spans="1:44" s="2039" customFormat="1" ht="12.75">
      <c r="A13" s="2898" t="s">
        <v>3366</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102.13832645978844</v>
      </c>
      <c r="AN13" s="3144">
        <f t="shared" si="49"/>
        <v>101.91520920600962</v>
      </c>
      <c r="AO13" s="3144">
        <f t="shared" si="50"/>
        <v>104.65783458219317</v>
      </c>
      <c r="AP13" s="3144">
        <f t="shared" si="51"/>
        <v>101.5952489519423</v>
      </c>
      <c r="AQ13" s="3144">
        <f t="shared" si="52"/>
        <v>98.623153487362956</v>
      </c>
      <c r="AR13" s="3144">
        <f t="shared" si="53"/>
        <v>104.65783458219317</v>
      </c>
    </row>
    <row r="14" spans="1:44" s="2039" customFormat="1" ht="12.75">
      <c r="A14" s="2898" t="s">
        <v>3365</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101.94463165963514</v>
      </c>
      <c r="AN14" s="3144">
        <f t="shared" si="49"/>
        <v>101.67119833001759</v>
      </c>
      <c r="AO14" s="3144">
        <f t="shared" si="50"/>
        <v>104.8255554709467</v>
      </c>
      <c r="AP14" s="3144">
        <f t="shared" si="51"/>
        <v>101.4228301407031</v>
      </c>
      <c r="AQ14" s="3144">
        <f t="shared" si="52"/>
        <v>98.025199768773433</v>
      </c>
      <c r="AR14" s="3144">
        <f t="shared" si="53"/>
        <v>104.8255554709467</v>
      </c>
    </row>
    <row r="15" spans="1:44" s="2039" customFormat="1" ht="12.75">
      <c r="A15" s="2898" t="s">
        <v>3363</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101.69040564552134</v>
      </c>
      <c r="AN15" s="3144">
        <f t="shared" si="49"/>
        <v>101.16537147265433</v>
      </c>
      <c r="AO15" s="3144">
        <f t="shared" si="50"/>
        <v>104.50160050936765</v>
      </c>
      <c r="AP15" s="3144">
        <f t="shared" si="51"/>
        <v>101.21028853478006</v>
      </c>
      <c r="AQ15" s="3144">
        <f t="shared" si="52"/>
        <v>97.605496135391249</v>
      </c>
      <c r="AR15" s="3144">
        <f t="shared" si="53"/>
        <v>104.50160050936765</v>
      </c>
    </row>
    <row r="16" spans="1:44" s="2039" customFormat="1" ht="12.75">
      <c r="A16" s="2898" t="s">
        <v>3362</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100.77336799675089</v>
      </c>
      <c r="AN16" s="3144">
        <f t="shared" si="49"/>
        <v>100.50205789057652</v>
      </c>
      <c r="AO16" s="3144">
        <f t="shared" si="50"/>
        <v>104.01274062841411</v>
      </c>
      <c r="AP16" s="3144">
        <f t="shared" si="51"/>
        <v>100.24790861210386</v>
      </c>
      <c r="AQ16" s="3144">
        <f t="shared" si="52"/>
        <v>96.917382718092782</v>
      </c>
      <c r="AR16" s="3144">
        <f t="shared" si="53"/>
        <v>104.01274062841411</v>
      </c>
    </row>
    <row r="17" spans="1:44" s="2039" customFormat="1" ht="12.75">
      <c r="A17" s="2898" t="s">
        <v>3361</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99.884396864655471</v>
      </c>
      <c r="AN17" s="3144">
        <f t="shared" si="49"/>
        <v>99.763805728187918</v>
      </c>
      <c r="AO17" s="3144">
        <f t="shared" si="50"/>
        <v>103.42322822751726</v>
      </c>
      <c r="AP17" s="3144">
        <f t="shared" si="51"/>
        <v>99.334035485635994</v>
      </c>
      <c r="AQ17" s="3144">
        <f t="shared" si="52"/>
        <v>96.435206684669438</v>
      </c>
      <c r="AR17" s="3144">
        <f t="shared" si="53"/>
        <v>103.42322822751726</v>
      </c>
    </row>
    <row r="18" spans="1:44" s="2039" customFormat="1" ht="12.75">
      <c r="A18" s="2898" t="s">
        <v>3359</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99.268929501744651</v>
      </c>
      <c r="AN18" s="3144">
        <f t="shared" si="49"/>
        <v>99.564676375437045</v>
      </c>
      <c r="AO18" s="3144">
        <f t="shared" si="50"/>
        <v>103.30958768106807</v>
      </c>
      <c r="AP18" s="3144">
        <f t="shared" si="51"/>
        <v>98.653327525708619</v>
      </c>
      <c r="AQ18" s="3144">
        <f t="shared" si="52"/>
        <v>95.926794672903043</v>
      </c>
      <c r="AR18" s="3144">
        <f t="shared" si="53"/>
        <v>103.30958768106807</v>
      </c>
    </row>
    <row r="19" spans="1:44" s="2039" customFormat="1" ht="12.75">
      <c r="A19" s="2898" t="s">
        <v>3350</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98.618050369307227</v>
      </c>
      <c r="AN19" s="3144">
        <f t="shared" si="49"/>
        <v>99.247085701193214</v>
      </c>
      <c r="AO19" s="3144">
        <f t="shared" si="50"/>
        <v>103.07252088303709</v>
      </c>
      <c r="AP19" s="3144">
        <f t="shared" si="51"/>
        <v>97.948101197089571</v>
      </c>
      <c r="AQ19" s="3144">
        <f t="shared" si="52"/>
        <v>95.326239364904154</v>
      </c>
      <c r="AR19" s="3144">
        <f t="shared" si="53"/>
        <v>103.07252088303709</v>
      </c>
    </row>
    <row r="20" spans="1:44" s="2039" customFormat="1" ht="12.75">
      <c r="A20" s="2898" t="s">
        <v>2816</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97.709353382846743</v>
      </c>
      <c r="AN20" s="3144">
        <f t="shared" si="49"/>
        <v>99.098438044127022</v>
      </c>
      <c r="AO20" s="3144">
        <f t="shared" si="50"/>
        <v>103.06221466157093</v>
      </c>
      <c r="AP20" s="3144">
        <f t="shared" si="51"/>
        <v>96.930332703700714</v>
      </c>
      <c r="AQ20" s="3144">
        <f t="shared" si="52"/>
        <v>94.307716031761146</v>
      </c>
      <c r="AR20" s="3144">
        <f t="shared" si="53"/>
        <v>103.06221466157093</v>
      </c>
    </row>
    <row r="21" spans="1:44" s="2039" customFormat="1" ht="12.75">
      <c r="A21" s="2898" t="s">
        <v>2817</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96.847411421198089</v>
      </c>
      <c r="AN21" s="3144">
        <f t="shared" si="49"/>
        <v>98.664315057872386</v>
      </c>
      <c r="AO21" s="3144">
        <f t="shared" si="50"/>
        <v>102.68229018787579</v>
      </c>
      <c r="AP21" s="3144">
        <f t="shared" si="51"/>
        <v>96.008649666898478</v>
      </c>
      <c r="AQ21" s="3144">
        <f t="shared" si="52"/>
        <v>93.70798492822054</v>
      </c>
      <c r="AR21" s="3144">
        <f t="shared" si="53"/>
        <v>102.68229018787579</v>
      </c>
    </row>
    <row r="22" spans="1:44" s="2039" customFormat="1" ht="12.75">
      <c r="A22" s="2898" t="s">
        <v>2818</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95.860052876569426</v>
      </c>
      <c r="AN22" s="3144">
        <f t="shared" si="49"/>
        <v>98.428087647518353</v>
      </c>
      <c r="AO22" s="3144">
        <f t="shared" si="50"/>
        <v>102.61046286387109</v>
      </c>
      <c r="AP22" s="3144">
        <f t="shared" si="51"/>
        <v>94.898339099435077</v>
      </c>
      <c r="AQ22" s="3144">
        <f t="shared" si="52"/>
        <v>93.195410172273029</v>
      </c>
      <c r="AR22" s="3144">
        <f t="shared" si="53"/>
        <v>102.61046286387109</v>
      </c>
    </row>
    <row r="23" spans="1:44" s="2039" customFormat="1" ht="12.75">
      <c r="A23" s="2898" t="s">
        <v>2819</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95.411618270697161</v>
      </c>
      <c r="AN23" s="3144">
        <f t="shared" si="49"/>
        <v>98.02618030825451</v>
      </c>
      <c r="AO23" s="3144">
        <f t="shared" si="50"/>
        <v>102.36478737417308</v>
      </c>
      <c r="AP23" s="3144">
        <f t="shared" si="51"/>
        <v>94.445003084628866</v>
      </c>
      <c r="AQ23" s="3144">
        <f t="shared" si="52"/>
        <v>92.750209168265357</v>
      </c>
      <c r="AR23" s="3144">
        <f t="shared" si="53"/>
        <v>102.36478737417308</v>
      </c>
    </row>
    <row r="24" spans="1:44" s="2921" customFormat="1" ht="14.25" thickBot="1">
      <c r="A24" s="2911" t="s">
        <v>2820</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2">
        <v>100</v>
      </c>
      <c r="AG24" s="3152">
        <v>100</v>
      </c>
      <c r="AH24" s="3152">
        <v>100</v>
      </c>
      <c r="AI24" s="3152">
        <v>100</v>
      </c>
      <c r="AJ24" s="3152">
        <v>100</v>
      </c>
      <c r="AK24" s="3152">
        <v>100</v>
      </c>
      <c r="AM24" s="3151">
        <f t="shared" si="48"/>
        <v>94.541833403386008</v>
      </c>
      <c r="AN24" s="3151">
        <f t="shared" si="49"/>
        <v>97.325437160697476</v>
      </c>
      <c r="AO24" s="3151">
        <f t="shared" si="50"/>
        <v>101.94680547173894</v>
      </c>
      <c r="AP24" s="3151">
        <f t="shared" si="51"/>
        <v>93.556219004090011</v>
      </c>
      <c r="AQ24" s="3151">
        <f t="shared" si="52"/>
        <v>91.82279889938161</v>
      </c>
      <c r="AR24" s="3151">
        <f t="shared" si="53"/>
        <v>101.94680547173894</v>
      </c>
    </row>
    <row r="25" spans="1:44" ht="14.25" thickTop="1"/>
    <row r="26" spans="1:44">
      <c r="A26" s="3134" t="s">
        <v>3376</v>
      </c>
    </row>
    <row r="27" spans="1:44">
      <c r="I27" s="1401" t="s">
        <v>2821</v>
      </c>
    </row>
    <row r="29" spans="1:44" s="2003" customFormat="1" ht="12.75">
      <c r="B29" s="2922" t="s">
        <v>3374</v>
      </c>
      <c r="C29" s="2923"/>
      <c r="D29" s="2923"/>
      <c r="E29" s="2923"/>
      <c r="F29" s="2923"/>
      <c r="G29" s="2923"/>
      <c r="H29" s="2923"/>
      <c r="I29" s="2923"/>
      <c r="J29" s="2889"/>
      <c r="K29" s="2923" t="s">
        <v>2822</v>
      </c>
      <c r="L29" s="2923"/>
      <c r="M29" s="2923"/>
      <c r="N29" s="2923"/>
      <c r="O29" s="2923"/>
      <c r="P29" s="2923"/>
      <c r="Q29" s="2889"/>
      <c r="R29" s="3510" t="s">
        <v>2823</v>
      </c>
      <c r="S29" s="3511"/>
      <c r="T29" s="3511"/>
      <c r="U29" s="3511"/>
      <c r="V29" s="3511"/>
      <c r="W29" s="3511"/>
      <c r="X29" s="2889"/>
      <c r="Y29" s="3510" t="s">
        <v>2824</v>
      </c>
      <c r="Z29" s="3511"/>
      <c r="AA29" s="3511"/>
      <c r="AB29" s="3511"/>
      <c r="AC29" s="3511"/>
      <c r="AD29" s="3511"/>
    </row>
    <row r="30" spans="1:44" s="2004" customFormat="1" ht="14.25" thickBot="1">
      <c r="B30" s="2874"/>
      <c r="C30" s="2875"/>
      <c r="D30" s="2005" t="s">
        <v>2825</v>
      </c>
      <c r="E30" s="2006" t="s">
        <v>2826</v>
      </c>
      <c r="F30" s="2006" t="s">
        <v>2827</v>
      </c>
      <c r="G30" s="2006" t="s">
        <v>2828</v>
      </c>
      <c r="H30" s="2006"/>
      <c r="I30" s="2006" t="s">
        <v>2829</v>
      </c>
      <c r="J30" s="2876"/>
      <c r="K30" s="2005" t="s">
        <v>2825</v>
      </c>
      <c r="L30" s="2006" t="s">
        <v>2826</v>
      </c>
      <c r="M30" s="2006" t="s">
        <v>2827</v>
      </c>
      <c r="N30" s="2006" t="s">
        <v>2828</v>
      </c>
      <c r="O30" s="2006"/>
      <c r="P30" s="2006" t="s">
        <v>2829</v>
      </c>
      <c r="Q30" s="2876"/>
      <c r="R30" s="2005" t="s">
        <v>2825</v>
      </c>
      <c r="S30" s="2006" t="s">
        <v>2826</v>
      </c>
      <c r="T30" s="2006" t="s">
        <v>2827</v>
      </c>
      <c r="U30" s="2006" t="s">
        <v>2828</v>
      </c>
      <c r="V30" s="2006"/>
      <c r="W30" s="2006" t="s">
        <v>2829</v>
      </c>
      <c r="X30" s="2876"/>
      <c r="Y30" s="2005" t="s">
        <v>2825</v>
      </c>
      <c r="Z30" s="2006" t="s">
        <v>2826</v>
      </c>
      <c r="AA30" s="2006" t="s">
        <v>2827</v>
      </c>
      <c r="AB30" s="2006" t="s">
        <v>2828</v>
      </c>
      <c r="AC30" s="2006"/>
      <c r="AD30" s="2006" t="s">
        <v>2829</v>
      </c>
      <c r="AG30" t="s">
        <v>673</v>
      </c>
      <c r="AH30" t="s">
        <v>21</v>
      </c>
      <c r="AI30" t="s">
        <v>3401</v>
      </c>
      <c r="AJ30"/>
      <c r="AK30" t="s">
        <v>3402</v>
      </c>
      <c r="AN30" t="s">
        <v>673</v>
      </c>
      <c r="AO30" t="s">
        <v>21</v>
      </c>
      <c r="AP30" t="s">
        <v>3401</v>
      </c>
      <c r="AQ30"/>
      <c r="AR30" t="s">
        <v>3402</v>
      </c>
    </row>
    <row r="31" spans="1:44" s="2879" customFormat="1" ht="12.75">
      <c r="A31" s="2877" t="s">
        <v>2830</v>
      </c>
      <c r="B31" s="2878"/>
      <c r="E31" s="2879">
        <f t="shared" ref="E31:G31" si="115">ROUND(AVERAGEIF(E32:E52,"&lt;&gt;0"),2)</f>
        <v>0.09</v>
      </c>
      <c r="F31" s="2879">
        <f t="shared" si="115"/>
        <v>0.01</v>
      </c>
      <c r="G31" s="2879">
        <f t="shared" si="115"/>
        <v>0.24</v>
      </c>
      <c r="I31" s="2879">
        <f>F31</f>
        <v>0.01</v>
      </c>
      <c r="J31" s="2880"/>
      <c r="K31" s="2881"/>
      <c r="L31" s="2882">
        <f t="shared" ref="L31:N31" si="116">ROUND(AVERAGEIF(L32:L52,"&lt;&gt;0"),4)</f>
        <v>8.9999999999999998E-4</v>
      </c>
      <c r="M31" s="2882">
        <f t="shared" si="116"/>
        <v>1E-4</v>
      </c>
      <c r="N31" s="2882">
        <f t="shared" si="116"/>
        <v>2.3999999999999998E-3</v>
      </c>
      <c r="O31" s="2882"/>
      <c r="P31" s="2882">
        <f>M31</f>
        <v>1E-4</v>
      </c>
      <c r="Q31" s="2880"/>
      <c r="R31" s="2883"/>
      <c r="S31" s="2884">
        <f>ROUND(SUMPRODUCT(PRODUCT(1+L32:L52)),4)</f>
        <v>1.0153000000000001</v>
      </c>
      <c r="T31" s="2884">
        <f t="shared" ref="T31:U31" si="117">ROUND(SUMPRODUCT(PRODUCT(1+M32:M52)),4)</f>
        <v>1.0016</v>
      </c>
      <c r="U31" s="2884">
        <f t="shared" si="117"/>
        <v>1.044</v>
      </c>
      <c r="V31" s="2884"/>
      <c r="W31" s="2883">
        <f>T31</f>
        <v>1.0016</v>
      </c>
      <c r="X31" s="2880"/>
      <c r="Y31" s="2885"/>
      <c r="Z31" s="2886">
        <f t="shared" ref="Z31:AB31" si="118">ROUND(AVERAGEIF(Z32:Z52,"&lt;&gt;0"),4)</f>
        <v>3.3E-3</v>
      </c>
      <c r="AA31" s="2887">
        <f t="shared" si="118"/>
        <v>3.8999999999999998E-3</v>
      </c>
      <c r="AB31" s="2885">
        <f t="shared" si="118"/>
        <v>6.4999999999999997E-3</v>
      </c>
      <c r="AC31" s="2888"/>
      <c r="AD31" s="2885">
        <f>AA31</f>
        <v>3.8999999999999998E-3</v>
      </c>
    </row>
    <row r="32" spans="1:44" s="2003" customFormat="1" ht="12.75">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3399</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1.0118</v>
      </c>
      <c r="T33" s="2021">
        <f>ROUND(IF(项目基本情况!$B$8="出让",SUMPRODUCT(PRODUCT(1+M33:M$52)),SUMPRODUCT(PRODUCT(1+M33:M$51))),4)</f>
        <v>0.99680000000000002</v>
      </c>
      <c r="U33" s="2021">
        <f>ROUND(IF(项目基本情况!$B$8="出让",SUMPRODUCT(PRODUCT(1+N33:N$52)),SUMPRODUCT(PRODUCT(1+N33:N$51))),4)</f>
        <v>1.0338000000000001</v>
      </c>
      <c r="V33" s="2021"/>
      <c r="W33" s="2021">
        <f t="shared" ref="W33:W39" si="124">T33</f>
        <v>0.99680000000000002</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4">
        <f t="shared" ref="AG33:AG50" si="129">$AG$52*S33</f>
        <v>101.18</v>
      </c>
      <c r="AH33" s="3144">
        <f t="shared" ref="AH33:AH50" si="130">$AG$52*T33</f>
        <v>99.68</v>
      </c>
      <c r="AI33" s="3144">
        <f t="shared" ref="AI33:AI50" si="131">$AG$52*U33</f>
        <v>103.38000000000001</v>
      </c>
      <c r="AJ33" s="3146"/>
      <c r="AK33" s="3144">
        <f t="shared" ref="AK33:AK50" si="132">$AG$52*W33</f>
        <v>99.68</v>
      </c>
      <c r="AN33" s="3149">
        <v>100</v>
      </c>
      <c r="AO33" s="3149">
        <v>100</v>
      </c>
      <c r="AP33" s="3149">
        <v>100</v>
      </c>
      <c r="AQ33" s="3149"/>
      <c r="AR33" s="3149">
        <v>100</v>
      </c>
    </row>
    <row r="34" spans="1:44" s="2039" customFormat="1" ht="12.75">
      <c r="A34" s="2034" t="s">
        <v>3398</v>
      </c>
      <c r="B34" s="2025">
        <v>2025</v>
      </c>
      <c r="C34" s="2036">
        <v>3</v>
      </c>
      <c r="D34" s="2001"/>
      <c r="E34" s="2001">
        <v>0</v>
      </c>
      <c r="F34" s="2001">
        <v>0</v>
      </c>
      <c r="G34" s="2001">
        <v>0</v>
      </c>
      <c r="H34" s="2001"/>
      <c r="I34" s="2002">
        <f t="shared" ref="I34" si="133">F34</f>
        <v>0</v>
      </c>
      <c r="J34" s="2899"/>
      <c r="K34" s="2037"/>
      <c r="L34" s="2022">
        <f t="shared" ref="L34" si="134">E34/100</f>
        <v>0</v>
      </c>
      <c r="M34" s="2022">
        <f t="shared" ref="M34" si="135">F34/100</f>
        <v>0</v>
      </c>
      <c r="N34" s="2022">
        <f t="shared" ref="N34" si="136">G34/100</f>
        <v>0</v>
      </c>
      <c r="O34" s="2022"/>
      <c r="P34" s="2022">
        <f t="shared" si="123"/>
        <v>0</v>
      </c>
      <c r="Q34" s="2899"/>
      <c r="R34" s="2021"/>
      <c r="S34" s="2021">
        <f>ROUND(IF(项目基本情况!$B$8="出让",SUMPRODUCT(PRODUCT(1+L34:L$52)),SUMPRODUCT(PRODUCT(1+L34:L$51))),4)</f>
        <v>1.0118</v>
      </c>
      <c r="T34" s="2021">
        <f>ROUND(IF(项目基本情况!$B$8="出让",SUMPRODUCT(PRODUCT(1+M34:M$52)),SUMPRODUCT(PRODUCT(1+M34:M$51))),4)</f>
        <v>0.99680000000000002</v>
      </c>
      <c r="U34" s="2021">
        <f>ROUND(IF(项目基本情况!$B$8="出让",SUMPRODUCT(PRODUCT(1+N34:N$52)),SUMPRODUCT(PRODUCT(1+N34:N$51))),4)</f>
        <v>1.0338000000000001</v>
      </c>
      <c r="V34" s="2021"/>
      <c r="W34" s="2021">
        <f t="shared" si="124"/>
        <v>0.99680000000000002</v>
      </c>
      <c r="X34" s="2899"/>
      <c r="Y34" s="2022"/>
      <c r="Z34" s="2895">
        <f t="shared" ref="Z34" si="137">IF(E34=0,0,ROUND(AVERAGE(E34:E47)/100,4))</f>
        <v>0</v>
      </c>
      <c r="AA34" s="2895">
        <f t="shared" ref="AA34" si="138">IF(F34=0,0,ROUND(AVERAGE(F34:F47)/100,4))</f>
        <v>0</v>
      </c>
      <c r="AB34" s="2895">
        <f t="shared" ref="AB34" si="139">IF(G34=0,0,ROUND(AVERAGE(G34:G47)/100,4))</f>
        <v>0</v>
      </c>
      <c r="AC34" s="2897"/>
      <c r="AD34" s="2022">
        <f t="shared" si="128"/>
        <v>0</v>
      </c>
      <c r="AG34" s="3144">
        <f t="shared" si="129"/>
        <v>101.18</v>
      </c>
      <c r="AH34" s="3144">
        <f t="shared" si="130"/>
        <v>99.68</v>
      </c>
      <c r="AI34" s="3144">
        <f t="shared" si="131"/>
        <v>103.38000000000001</v>
      </c>
      <c r="AJ34" s="3146"/>
      <c r="AK34" s="3144">
        <f t="shared" si="132"/>
        <v>99.68</v>
      </c>
      <c r="AN34" s="3144">
        <f>AN33/(1+E33/100)</f>
        <v>100</v>
      </c>
      <c r="AO34" s="3144">
        <f t="shared" ref="AO34:AR34" si="140">AO33/(1+F33/100)</f>
        <v>100</v>
      </c>
      <c r="AP34" s="3144">
        <f t="shared" si="140"/>
        <v>100</v>
      </c>
      <c r="AQ34" s="3144"/>
      <c r="AR34" s="3144">
        <f t="shared" si="140"/>
        <v>100</v>
      </c>
    </row>
    <row r="35" spans="1:44" s="2909" customFormat="1" ht="12.75">
      <c r="A35" s="2900" t="s">
        <v>3406</v>
      </c>
      <c r="B35" s="2901">
        <v>2025</v>
      </c>
      <c r="C35" s="2902">
        <v>2</v>
      </c>
      <c r="D35" s="2903"/>
      <c r="E35" s="2903">
        <v>-0.31</v>
      </c>
      <c r="F35" s="2903">
        <v>-1.03</v>
      </c>
      <c r="G35" s="2903">
        <v>0.03</v>
      </c>
      <c r="H35" s="2904"/>
      <c r="I35" s="2905">
        <f t="shared" ref="I35" si="141">F35</f>
        <v>-1.03</v>
      </c>
      <c r="J35" s="2906"/>
      <c r="K35" s="2907"/>
      <c r="L35" s="2908">
        <f t="shared" ref="L35" si="142">E35/100</f>
        <v>-3.0999999999999999E-3</v>
      </c>
      <c r="M35" s="2908">
        <f t="shared" ref="M35" si="143">F35/100</f>
        <v>-1.03E-2</v>
      </c>
      <c r="N35" s="2908">
        <f t="shared" ref="N35" si="144">G35/100</f>
        <v>2.9999999999999997E-4</v>
      </c>
      <c r="O35" s="2908"/>
      <c r="P35" s="2908">
        <f t="shared" si="123"/>
        <v>-1.03E-2</v>
      </c>
      <c r="Q35" s="2906"/>
      <c r="R35" s="2906"/>
      <c r="S35" s="2906">
        <f>ROUND(IF(项目基本情况!$B$8="出让",SUMPRODUCT(PRODUCT(1+L35:L$52)),SUMPRODUCT(PRODUCT(1+L35:L$51))),4)</f>
        <v>1.0118</v>
      </c>
      <c r="T35" s="2906">
        <f>ROUND(IF(项目基本情况!$B$8="出让",SUMPRODUCT(PRODUCT(1+M35:M$52)),SUMPRODUCT(PRODUCT(1+M35:M$51))),4)</f>
        <v>0.99680000000000002</v>
      </c>
      <c r="U35" s="2906">
        <f>ROUND(IF(项目基本情况!$B$8="出让",SUMPRODUCT(PRODUCT(1+N35:N$52)),SUMPRODUCT(PRODUCT(1+N35:N$51))),4)</f>
        <v>1.0338000000000001</v>
      </c>
      <c r="V35" s="2906"/>
      <c r="W35" s="2906">
        <f t="shared" si="124"/>
        <v>0.99680000000000002</v>
      </c>
      <c r="X35" s="2906"/>
      <c r="Y35" s="2908"/>
      <c r="Z35" s="2924">
        <f t="shared" ref="Z35" si="145">IF(E35=0,0,ROUND(AVERAGE(E35:E48)/100,4))</f>
        <v>-2.9999999999999997E-4</v>
      </c>
      <c r="AA35" s="2925">
        <f t="shared" ref="AA35" si="146">IF(F35=0,0,ROUND(AVERAGE(F35:F48)/100,4))</f>
        <v>-8.0000000000000004E-4</v>
      </c>
      <c r="AB35" s="2908">
        <f t="shared" ref="AB35" si="147">IF(G35=0,0,ROUND(AVERAGE(G35:G48)/100,4))</f>
        <v>5.0000000000000001E-4</v>
      </c>
      <c r="AC35" s="2926"/>
      <c r="AD35" s="2908">
        <f t="shared" si="128"/>
        <v>-8.0000000000000004E-4</v>
      </c>
      <c r="AG35" s="3145">
        <f t="shared" si="129"/>
        <v>101.18</v>
      </c>
      <c r="AH35" s="3145">
        <f t="shared" si="130"/>
        <v>99.68</v>
      </c>
      <c r="AI35" s="3145">
        <f t="shared" si="131"/>
        <v>103.38000000000001</v>
      </c>
      <c r="AJ35" s="3147"/>
      <c r="AK35" s="3145">
        <f t="shared" si="132"/>
        <v>99.68</v>
      </c>
      <c r="AN35" s="3145">
        <f t="shared" ref="AN35:AN52" si="148">AN34/(1+E34/100)</f>
        <v>100</v>
      </c>
      <c r="AO35" s="3145">
        <f t="shared" ref="AO35" si="149">AO34/(1+F34/100)</f>
        <v>100</v>
      </c>
      <c r="AP35" s="3145">
        <f t="shared" ref="AP35" si="150">AP34/(1+G34/100)</f>
        <v>100</v>
      </c>
      <c r="AQ35" s="3145"/>
      <c r="AR35" s="3145">
        <f t="shared" ref="AR35" si="151">AR34/(1+I34/100)</f>
        <v>100</v>
      </c>
    </row>
    <row r="36" spans="1:44" s="2039" customFormat="1" ht="12.75">
      <c r="A36" s="2034" t="s">
        <v>3403</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4">
        <f t="shared" si="129"/>
        <v>101.49</v>
      </c>
      <c r="AH36" s="3144">
        <f t="shared" si="130"/>
        <v>100.72000000000001</v>
      </c>
      <c r="AI36" s="3144">
        <f t="shared" si="131"/>
        <v>103.35000000000001</v>
      </c>
      <c r="AJ36" s="3146"/>
      <c r="AK36" s="3144">
        <f t="shared" si="132"/>
        <v>100.72000000000001</v>
      </c>
      <c r="AN36" s="3144">
        <f t="shared" si="148"/>
        <v>100.31096398836392</v>
      </c>
      <c r="AO36" s="3144">
        <f t="shared" ref="AO36:AO52" si="159">AO35/(1+F35/100)</f>
        <v>101.04071940992219</v>
      </c>
      <c r="AP36" s="3144">
        <f t="shared" ref="AP36:AP52" si="160">AP35/(1+G35/100)</f>
        <v>99.970008997300809</v>
      </c>
      <c r="AQ36" s="3144"/>
      <c r="AR36" s="3144">
        <f t="shared" ref="AR36:AR52" si="161">AR35/(1+I35/100)</f>
        <v>101.04071940992219</v>
      </c>
    </row>
    <row r="37" spans="1:44" s="2039" customFormat="1" ht="12.75">
      <c r="A37" s="2034" t="s">
        <v>3404</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4">
        <f t="shared" si="129"/>
        <v>103.01</v>
      </c>
      <c r="AH37" s="3144">
        <f t="shared" si="130"/>
        <v>101.71</v>
      </c>
      <c r="AI37" s="3144">
        <f t="shared" si="131"/>
        <v>103.88</v>
      </c>
      <c r="AJ37" s="3146"/>
      <c r="AK37" s="3144">
        <f t="shared" si="132"/>
        <v>101.71</v>
      </c>
      <c r="AN37" s="3144">
        <f t="shared" si="148"/>
        <v>101.80753474917682</v>
      </c>
      <c r="AO37" s="3144">
        <f t="shared" si="159"/>
        <v>102.04071845073943</v>
      </c>
      <c r="AP37" s="3144">
        <f t="shared" si="160"/>
        <v>100.48246959222114</v>
      </c>
      <c r="AQ37" s="3144"/>
      <c r="AR37" s="3144">
        <f t="shared" si="161"/>
        <v>102.04071845073943</v>
      </c>
    </row>
    <row r="38" spans="1:44" s="2039" customFormat="1" ht="12.75">
      <c r="A38" s="2034" t="s">
        <v>3368</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4">
        <f t="shared" si="129"/>
        <v>103.64</v>
      </c>
      <c r="AH38" s="3144">
        <f t="shared" si="130"/>
        <v>102.44</v>
      </c>
      <c r="AI38" s="3144">
        <f t="shared" si="131"/>
        <v>104.80000000000001</v>
      </c>
      <c r="AJ38" s="3146"/>
      <c r="AK38" s="3144">
        <f t="shared" si="132"/>
        <v>102.44</v>
      </c>
      <c r="AN38" s="3144">
        <f t="shared" si="148"/>
        <v>102.4323722197171</v>
      </c>
      <c r="AO38" s="3144">
        <f t="shared" si="159"/>
        <v>102.7703882070092</v>
      </c>
      <c r="AP38" s="3144">
        <f t="shared" si="160"/>
        <v>101.37456577100599</v>
      </c>
      <c r="AQ38" s="3144"/>
      <c r="AR38" s="3144">
        <f t="shared" si="161"/>
        <v>102.7703882070092</v>
      </c>
    </row>
    <row r="39" spans="1:44" s="2039" customFormat="1" ht="12.75">
      <c r="A39" s="2898" t="s">
        <v>3372</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4">
        <f t="shared" si="129"/>
        <v>104.32999999999998</v>
      </c>
      <c r="AH39" s="3144">
        <f t="shared" si="130"/>
        <v>102.98</v>
      </c>
      <c r="AI39" s="3144">
        <f t="shared" si="131"/>
        <v>107.89999999999999</v>
      </c>
      <c r="AJ39" s="3146"/>
      <c r="AK39" s="3144">
        <f t="shared" si="132"/>
        <v>102.98</v>
      </c>
      <c r="AN39" s="3144">
        <f t="shared" si="148"/>
        <v>103.11291747505244</v>
      </c>
      <c r="AO39" s="3144">
        <f t="shared" si="159"/>
        <v>103.30758766285605</v>
      </c>
      <c r="AP39" s="3144">
        <f t="shared" si="160"/>
        <v>104.36998432101923</v>
      </c>
      <c r="AQ39" s="3144"/>
      <c r="AR39" s="3144">
        <f t="shared" si="161"/>
        <v>103.30758766285605</v>
      </c>
    </row>
    <row r="40" spans="1:44" s="2039" customFormat="1" ht="12.75">
      <c r="A40" s="2898" t="s">
        <v>3369</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4">
        <f t="shared" si="129"/>
        <v>104.65</v>
      </c>
      <c r="AH40" s="3144">
        <f t="shared" si="130"/>
        <v>103.38000000000001</v>
      </c>
      <c r="AI40" s="3144">
        <f t="shared" si="131"/>
        <v>106.59</v>
      </c>
      <c r="AJ40" s="3146"/>
      <c r="AK40" s="3144">
        <f t="shared" si="132"/>
        <v>103.38000000000001</v>
      </c>
      <c r="AN40" s="3144">
        <f t="shared" si="148"/>
        <v>103.43356151575126</v>
      </c>
      <c r="AO40" s="3144">
        <f t="shared" si="159"/>
        <v>103.7120647152455</v>
      </c>
      <c r="AP40" s="3144">
        <f t="shared" si="160"/>
        <v>103.10183179000221</v>
      </c>
      <c r="AQ40" s="3144"/>
      <c r="AR40" s="3144">
        <f t="shared" si="161"/>
        <v>103.7120647152455</v>
      </c>
    </row>
    <row r="41" spans="1:44" s="2039" customFormat="1" ht="12.75">
      <c r="A41" s="2898" t="s">
        <v>3367</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4">
        <f t="shared" si="129"/>
        <v>104.39</v>
      </c>
      <c r="AH41" s="3144">
        <f t="shared" si="130"/>
        <v>102.97</v>
      </c>
      <c r="AI41" s="3144">
        <f t="shared" si="131"/>
        <v>107.27</v>
      </c>
      <c r="AJ41" s="3146"/>
      <c r="AK41" s="3144">
        <f t="shared" si="132"/>
        <v>102.97</v>
      </c>
      <c r="AN41" s="3144">
        <f t="shared" si="148"/>
        <v>103.17562245960227</v>
      </c>
      <c r="AO41" s="3144">
        <f t="shared" si="159"/>
        <v>103.29886923829234</v>
      </c>
      <c r="AP41" s="3144">
        <f t="shared" si="160"/>
        <v>103.75549138573231</v>
      </c>
      <c r="AQ41" s="3144"/>
      <c r="AR41" s="3144">
        <f t="shared" si="161"/>
        <v>103.29886923829234</v>
      </c>
    </row>
    <row r="42" spans="1:44" s="2039" customFormat="1" ht="12.75">
      <c r="A42" s="2898" t="s">
        <v>3365</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4">
        <f t="shared" si="129"/>
        <v>104.32</v>
      </c>
      <c r="AH42" s="3144">
        <f t="shared" si="130"/>
        <v>102.86999999999999</v>
      </c>
      <c r="AI42" s="3144">
        <f t="shared" si="131"/>
        <v>107.23</v>
      </c>
      <c r="AJ42" s="3146"/>
      <c r="AK42" s="3144">
        <f t="shared" si="132"/>
        <v>102.86999999999999</v>
      </c>
      <c r="AN42" s="3144">
        <f t="shared" si="148"/>
        <v>103.10345004457108</v>
      </c>
      <c r="AO42" s="3144">
        <f t="shared" si="159"/>
        <v>103.20598385282482</v>
      </c>
      <c r="AP42" s="3144">
        <f t="shared" si="160"/>
        <v>103.72437407351026</v>
      </c>
      <c r="AQ42" s="3144"/>
      <c r="AR42" s="3144">
        <f t="shared" si="161"/>
        <v>103.20598385282482</v>
      </c>
    </row>
    <row r="43" spans="1:44" s="2039" customFormat="1" ht="12.75">
      <c r="A43" s="2898" t="s">
        <v>3364</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4">
        <f t="shared" si="129"/>
        <v>103.96000000000001</v>
      </c>
      <c r="AH43" s="3144">
        <f t="shared" si="130"/>
        <v>102.69999999999999</v>
      </c>
      <c r="AI43" s="3144">
        <f t="shared" si="131"/>
        <v>106.67999999999999</v>
      </c>
      <c r="AJ43" s="3146"/>
      <c r="AK43" s="3144">
        <f t="shared" si="132"/>
        <v>102.69999999999999</v>
      </c>
      <c r="AN43" s="3144">
        <f t="shared" si="148"/>
        <v>102.74384658153569</v>
      </c>
      <c r="AO43" s="3144">
        <f t="shared" si="159"/>
        <v>103.03083143937786</v>
      </c>
      <c r="AP43" s="3144">
        <f t="shared" si="160"/>
        <v>103.18779752637312</v>
      </c>
      <c r="AQ43" s="3144"/>
      <c r="AR43" s="3144">
        <f t="shared" si="161"/>
        <v>103.03083143937786</v>
      </c>
    </row>
    <row r="44" spans="1:44" s="2039" customFormat="1" ht="12.75">
      <c r="A44" s="2898" t="s">
        <v>3362</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4">
        <f t="shared" si="129"/>
        <v>103.44</v>
      </c>
      <c r="AH44" s="3144">
        <f t="shared" si="130"/>
        <v>102.24</v>
      </c>
      <c r="AI44" s="3144">
        <f t="shared" si="131"/>
        <v>105.74</v>
      </c>
      <c r="AJ44" s="3146"/>
      <c r="AK44" s="3144">
        <f t="shared" si="132"/>
        <v>102.24</v>
      </c>
      <c r="AN44" s="3144">
        <f t="shared" si="148"/>
        <v>102.23268316570717</v>
      </c>
      <c r="AO44" s="3144">
        <f t="shared" si="159"/>
        <v>102.56926972561261</v>
      </c>
      <c r="AP44" s="3144">
        <f t="shared" si="160"/>
        <v>102.27752753134416</v>
      </c>
      <c r="AQ44" s="3144"/>
      <c r="AR44" s="3144">
        <f t="shared" si="161"/>
        <v>102.56926972561261</v>
      </c>
    </row>
    <row r="45" spans="1:44" s="2039" customFormat="1" ht="12.75">
      <c r="A45" s="2898" t="s">
        <v>3361</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4">
        <f t="shared" si="129"/>
        <v>102.86999999999999</v>
      </c>
      <c r="AH45" s="3144">
        <f t="shared" si="130"/>
        <v>101.64</v>
      </c>
      <c r="AI45" s="3144">
        <f t="shared" si="131"/>
        <v>105.06</v>
      </c>
      <c r="AJ45" s="3146"/>
      <c r="AK45" s="3144">
        <f t="shared" si="132"/>
        <v>101.64</v>
      </c>
      <c r="AN45" s="3144">
        <f t="shared" si="148"/>
        <v>101.67347903103646</v>
      </c>
      <c r="AO45" s="3144">
        <f t="shared" si="159"/>
        <v>101.96766052849449</v>
      </c>
      <c r="AP45" s="3144">
        <f t="shared" si="160"/>
        <v>101.62711400173308</v>
      </c>
      <c r="AQ45" s="3144"/>
      <c r="AR45" s="3144">
        <f t="shared" si="161"/>
        <v>101.96766052849449</v>
      </c>
    </row>
    <row r="46" spans="1:44" s="2039" customFormat="1" ht="12.75">
      <c r="A46" s="2898" t="s">
        <v>3360</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4">
        <f t="shared" si="129"/>
        <v>102.41</v>
      </c>
      <c r="AH46" s="3144">
        <f t="shared" si="130"/>
        <v>101.44</v>
      </c>
      <c r="AI46" s="3144">
        <f t="shared" si="131"/>
        <v>104.67</v>
      </c>
      <c r="AJ46" s="3146"/>
      <c r="AK46" s="3144">
        <f t="shared" si="132"/>
        <v>101.44</v>
      </c>
      <c r="AN46" s="3144">
        <f t="shared" si="148"/>
        <v>101.21799803985711</v>
      </c>
      <c r="AO46" s="3144">
        <f t="shared" si="159"/>
        <v>101.76413226396656</v>
      </c>
      <c r="AP46" s="3144">
        <f t="shared" si="160"/>
        <v>101.24239290868009</v>
      </c>
      <c r="AQ46" s="3144"/>
      <c r="AR46" s="3144">
        <f t="shared" si="161"/>
        <v>101.76413226396656</v>
      </c>
    </row>
    <row r="47" spans="1:44" s="2039" customFormat="1" ht="12.75">
      <c r="A47" s="2898" t="s">
        <v>3350</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100.9152522830081</v>
      </c>
      <c r="AO47" s="3144">
        <f t="shared" si="159"/>
        <v>101.46986964200475</v>
      </c>
      <c r="AP47" s="3144">
        <f t="shared" si="160"/>
        <v>100.40899822342566</v>
      </c>
      <c r="AQ47" s="3144"/>
      <c r="AR47" s="3144">
        <f t="shared" si="161"/>
        <v>101.46986964200475</v>
      </c>
    </row>
    <row r="48" spans="1:44" s="2039" customFormat="1" ht="12.75">
      <c r="A48" s="2898" t="s">
        <v>2831</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4.5999999999999999E-3</v>
      </c>
      <c r="AB48" s="2022">
        <f t="shared" si="191"/>
        <v>8.3999999999999995E-3</v>
      </c>
      <c r="AC48" s="2897"/>
      <c r="AD48" s="2022">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101.02638130244078</v>
      </c>
      <c r="AO48" s="3144">
        <f t="shared" si="159"/>
        <v>101.60195217983853</v>
      </c>
      <c r="AP48" s="3144">
        <f t="shared" si="160"/>
        <v>99.879636151820989</v>
      </c>
      <c r="AQ48" s="3144"/>
      <c r="AR48" s="3144">
        <f t="shared" si="161"/>
        <v>101.60195217983853</v>
      </c>
    </row>
    <row r="49" spans="1:44" s="2039" customFormat="1" ht="12.75">
      <c r="A49" s="2898" t="s">
        <v>2832</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5.4999999999999997E-3</v>
      </c>
      <c r="AB49" s="2022">
        <f t="shared" si="191"/>
        <v>9.1999999999999998E-3</v>
      </c>
      <c r="AC49" s="2897"/>
      <c r="AD49" s="2022">
        <f t="shared" si="191"/>
        <v>3.3E-3</v>
      </c>
      <c r="AG49" s="3144">
        <f t="shared" si="129"/>
        <v>101.61</v>
      </c>
      <c r="AH49" s="3144">
        <f t="shared" si="130"/>
        <v>100.82</v>
      </c>
      <c r="AI49" s="3144">
        <f t="shared" si="131"/>
        <v>102.71</v>
      </c>
      <c r="AJ49" s="3146"/>
      <c r="AK49" s="3144">
        <f t="shared" si="132"/>
        <v>100.82</v>
      </c>
      <c r="AN49" s="3144">
        <f t="shared" si="148"/>
        <v>100.42383827280396</v>
      </c>
      <c r="AO49" s="3144">
        <f t="shared" si="159"/>
        <v>101.14679161755951</v>
      </c>
      <c r="AP49" s="3144">
        <f t="shared" si="160"/>
        <v>99.353064907809596</v>
      </c>
      <c r="AQ49" s="3144"/>
      <c r="AR49" s="3144">
        <f t="shared" si="161"/>
        <v>101.14679161755951</v>
      </c>
    </row>
    <row r="50" spans="1:44" s="2039" customFormat="1" ht="12.75">
      <c r="A50" s="2898" t="s">
        <v>2833</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7.0000000000000001E-3</v>
      </c>
      <c r="AB50" s="2022">
        <f t="shared" si="191"/>
        <v>0.01</v>
      </c>
      <c r="AC50" s="2897"/>
      <c r="AD50" s="2022">
        <f t="shared" si="191"/>
        <v>4.1000000000000003E-3</v>
      </c>
      <c r="AG50" s="3144">
        <f t="shared" si="129"/>
        <v>101.02</v>
      </c>
      <c r="AH50" s="3144">
        <f t="shared" si="130"/>
        <v>100.74000000000001</v>
      </c>
      <c r="AI50" s="3144">
        <f t="shared" si="131"/>
        <v>102.02</v>
      </c>
      <c r="AJ50" s="3146"/>
      <c r="AK50" s="3144">
        <f t="shared" si="132"/>
        <v>100.74000000000001</v>
      </c>
      <c r="AN50" s="3144">
        <f t="shared" si="148"/>
        <v>99.844738787834515</v>
      </c>
      <c r="AO50" s="3144">
        <f t="shared" si="159"/>
        <v>101.06593886646635</v>
      </c>
      <c r="AP50" s="3144">
        <f t="shared" si="160"/>
        <v>98.682027123370688</v>
      </c>
      <c r="AQ50" s="3144"/>
      <c r="AR50" s="3144">
        <f t="shared" si="161"/>
        <v>101.06593886646635</v>
      </c>
    </row>
    <row r="51" spans="1:44" s="2039" customFormat="1" ht="12.75">
      <c r="A51" s="2898" t="s">
        <v>2834</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8.2000000000000007E-3</v>
      </c>
      <c r="AB51" s="2022">
        <f t="shared" si="191"/>
        <v>1.04E-2</v>
      </c>
      <c r="AC51" s="2897"/>
      <c r="AD51" s="2022">
        <f t="shared" si="191"/>
        <v>4.7000000000000002E-3</v>
      </c>
      <c r="AG51" s="3144">
        <f>$AG$52*S51</f>
        <v>100.55000000000001</v>
      </c>
      <c r="AH51" s="3144">
        <f t="shared" ref="AH51:AK51" si="192">$AG$52*T51</f>
        <v>100.46</v>
      </c>
      <c r="AI51" s="3144">
        <f t="shared" si="192"/>
        <v>101.1</v>
      </c>
      <c r="AJ51" s="3146"/>
      <c r="AK51" s="3144">
        <f t="shared" si="192"/>
        <v>100.46</v>
      </c>
      <c r="AN51" s="3144">
        <f t="shared" si="148"/>
        <v>99.377663768124336</v>
      </c>
      <c r="AO51" s="3144">
        <f t="shared" si="159"/>
        <v>100.78374438219622</v>
      </c>
      <c r="AP51" s="3144">
        <f t="shared" si="160"/>
        <v>97.7921188419093</v>
      </c>
      <c r="AQ51" s="3144"/>
      <c r="AR51" s="3144">
        <f t="shared" si="161"/>
        <v>100.78374438219622</v>
      </c>
    </row>
    <row r="52" spans="1:44" s="2921" customFormat="1" ht="14.25" thickBot="1">
      <c r="A52" s="2911" t="s">
        <v>2820</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9.1000000000000004E-3</v>
      </c>
      <c r="AB52" s="2919">
        <f t="shared" si="191"/>
        <v>9.7999999999999997E-3</v>
      </c>
      <c r="AC52" s="2929"/>
      <c r="AD52" s="2919">
        <f t="shared" si="191"/>
        <v>4.7999999999999996E-3</v>
      </c>
      <c r="AG52" s="3148">
        <v>100</v>
      </c>
      <c r="AH52" s="3148">
        <v>100</v>
      </c>
      <c r="AI52" s="3148">
        <v>100</v>
      </c>
      <c r="AJ52" s="3148"/>
      <c r="AK52" s="3148">
        <v>100</v>
      </c>
      <c r="AN52" s="3151">
        <f t="shared" si="148"/>
        <v>98.83407634820918</v>
      </c>
      <c r="AO52" s="3151">
        <f t="shared" si="159"/>
        <v>100.32226197710156</v>
      </c>
      <c r="AP52" s="3151">
        <f t="shared" si="160"/>
        <v>96.728109635914251</v>
      </c>
      <c r="AQ52" s="3151"/>
      <c r="AR52" s="3151">
        <f t="shared" si="161"/>
        <v>100.32226197710156</v>
      </c>
    </row>
    <row r="53" spans="1:44" ht="14.25" thickTop="1"/>
    <row r="54" spans="1:44">
      <c r="A54" s="3134" t="s">
        <v>3375</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2" t="s">
        <v>949</v>
      </c>
      <c r="B1" s="3212"/>
      <c r="C1" s="3212"/>
      <c r="D1" s="3212"/>
    </row>
    <row r="2" spans="1:4" ht="18">
      <c r="A2" s="3213" t="s">
        <v>933</v>
      </c>
      <c r="B2" s="3213"/>
      <c r="C2" s="3213"/>
      <c r="D2" s="3213"/>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13" t="s">
        <v>939</v>
      </c>
      <c r="B6" s="3213"/>
      <c r="C6" s="3213"/>
      <c r="D6" s="3213"/>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945</v>
      </c>
      <c r="B22" s="3210"/>
      <c r="C22" s="3210"/>
      <c r="D22" s="3210"/>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3358</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3355</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3356</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3357</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2309</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2308</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2307</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2304</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2303</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3">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3"/>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3"/>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0"/>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16">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3"/>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3"/>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0"/>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6">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3"/>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3"/>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4"/>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2">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3"/>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3"/>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4"/>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2">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3"/>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3"/>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4"/>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7">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8"/>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8"/>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19"/>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2">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3"/>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3"/>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4"/>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2">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3">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3">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4">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2">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3">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3">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4">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2">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3">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3">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4">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2">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3">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3">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4">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2">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3">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3">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4">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2">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3">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3">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4">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2">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3">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3">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4">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2">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3">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3">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4">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3">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3">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3">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3">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4">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3" t="s">
        <v>2835</v>
      </c>
      <c r="B1" s="3523"/>
      <c r="C1" s="3523"/>
      <c r="D1" s="3523"/>
      <c r="E1" s="3523"/>
      <c r="F1" s="3523"/>
      <c r="G1" s="3524"/>
      <c r="I1" s="2931" t="s">
        <v>2836</v>
      </c>
      <c r="J1" s="2932" t="s">
        <v>2837</v>
      </c>
      <c r="K1" s="2932" t="s">
        <v>2838</v>
      </c>
      <c r="L1" s="2932" t="s">
        <v>2839</v>
      </c>
      <c r="M1" s="2932" t="s">
        <v>2840</v>
      </c>
      <c r="N1" s="2932" t="s">
        <v>2841</v>
      </c>
      <c r="O1" s="2932" t="s">
        <v>2842</v>
      </c>
      <c r="P1" s="2932" t="s">
        <v>2843</v>
      </c>
      <c r="Q1" s="2932" t="s">
        <v>2844</v>
      </c>
      <c r="R1" s="2932" t="s">
        <v>2845</v>
      </c>
      <c r="S1" s="2932" t="s">
        <v>2846</v>
      </c>
      <c r="T1" s="2933" t="s">
        <v>2847</v>
      </c>
    </row>
    <row r="2" spans="1:20" ht="12" thickBot="1">
      <c r="A2" s="2934" t="s">
        <v>2848</v>
      </c>
      <c r="B2" s="2934"/>
      <c r="C2" s="2934"/>
      <c r="D2" s="2934"/>
      <c r="E2" s="2934"/>
      <c r="F2" s="2934"/>
      <c r="G2" s="2935" t="s">
        <v>2849</v>
      </c>
      <c r="I2" s="2936" t="s">
        <v>2850</v>
      </c>
      <c r="J2" s="2936" t="s">
        <v>2851</v>
      </c>
      <c r="K2" s="2936" t="s">
        <v>2852</v>
      </c>
      <c r="L2" s="2936" t="s">
        <v>2853</v>
      </c>
      <c r="M2" s="2936" t="s">
        <v>2854</v>
      </c>
      <c r="N2" s="2936" t="s">
        <v>2855</v>
      </c>
      <c r="O2" s="2936" t="s">
        <v>2856</v>
      </c>
      <c r="P2" s="2936" t="s">
        <v>2857</v>
      </c>
      <c r="Q2" s="2936" t="s">
        <v>2858</v>
      </c>
      <c r="R2" s="2936" t="s">
        <v>2859</v>
      </c>
      <c r="S2" s="2936" t="s">
        <v>2860</v>
      </c>
      <c r="T2" s="2936" t="s">
        <v>2861</v>
      </c>
    </row>
    <row r="3" spans="1:20" s="2942" customFormat="1">
      <c r="A3" s="3521" t="s">
        <v>2862</v>
      </c>
      <c r="B3" s="2937"/>
      <c r="C3" s="2938" t="s">
        <v>2807</v>
      </c>
      <c r="D3" s="2938" t="s">
        <v>2863</v>
      </c>
      <c r="E3" s="2938" t="s">
        <v>2809</v>
      </c>
      <c r="F3" s="2938" t="s">
        <v>2864</v>
      </c>
      <c r="G3" s="2938" t="s">
        <v>2627</v>
      </c>
      <c r="H3" s="2939"/>
      <c r="I3" s="2940" t="s">
        <v>2865</v>
      </c>
      <c r="J3" s="2941" t="s">
        <v>128</v>
      </c>
      <c r="K3" s="2941" t="s">
        <v>129</v>
      </c>
      <c r="L3" s="2940" t="s">
        <v>130</v>
      </c>
      <c r="M3" s="2940" t="s">
        <v>131</v>
      </c>
      <c r="N3" s="2940" t="s">
        <v>132</v>
      </c>
      <c r="O3" s="2940" t="s">
        <v>133</v>
      </c>
      <c r="P3" s="2940" t="s">
        <v>134</v>
      </c>
      <c r="Q3" s="2940" t="s">
        <v>135</v>
      </c>
      <c r="R3" s="2940" t="s">
        <v>136</v>
      </c>
      <c r="S3" s="2940" t="s">
        <v>2866</v>
      </c>
      <c r="T3" s="2940" t="s">
        <v>2867</v>
      </c>
    </row>
    <row r="4" spans="1:20" s="2942" customFormat="1" ht="12" thickBot="1">
      <c r="A4" s="3522"/>
      <c r="B4" s="2943" t="s">
        <v>2868</v>
      </c>
      <c r="C4" s="2943" t="s">
        <v>2869</v>
      </c>
      <c r="D4" s="2943" t="s">
        <v>2869</v>
      </c>
      <c r="E4" s="2943" t="s">
        <v>2869</v>
      </c>
      <c r="F4" s="2944" t="s">
        <v>2869</v>
      </c>
      <c r="G4" s="2944" t="s">
        <v>2869</v>
      </c>
      <c r="H4" s="2939"/>
      <c r="I4" s="2941" t="s">
        <v>137</v>
      </c>
      <c r="J4" s="2941" t="s">
        <v>111</v>
      </c>
      <c r="K4" s="2941" t="s">
        <v>138</v>
      </c>
      <c r="L4" s="2940" t="s">
        <v>139</v>
      </c>
      <c r="M4" s="2940" t="s">
        <v>140</v>
      </c>
      <c r="N4" s="2940" t="s">
        <v>141</v>
      </c>
      <c r="O4" s="2940" t="s">
        <v>142</v>
      </c>
      <c r="P4" s="2940" t="s">
        <v>143</v>
      </c>
      <c r="Q4" s="2940" t="s">
        <v>2870</v>
      </c>
      <c r="R4" s="2940" t="s">
        <v>2871</v>
      </c>
      <c r="S4" s="2940" t="s">
        <v>2872</v>
      </c>
      <c r="T4" s="2940" t="s">
        <v>2873</v>
      </c>
    </row>
    <row r="5" spans="1:20">
      <c r="A5" s="2945" t="s">
        <v>2836</v>
      </c>
      <c r="B5" s="2936" t="s">
        <v>2850</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2874</v>
      </c>
      <c r="R5" s="2940" t="s">
        <v>2875</v>
      </c>
      <c r="S5" s="2940" t="s">
        <v>153</v>
      </c>
      <c r="T5" s="2940" t="s">
        <v>2876</v>
      </c>
    </row>
    <row r="6" spans="1:20" ht="12" thickBot="1">
      <c r="A6" s="2940" t="s">
        <v>144</v>
      </c>
      <c r="B6" s="2940" t="s">
        <v>2865</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2877</v>
      </c>
      <c r="Q6" s="2940" t="s">
        <v>2878</v>
      </c>
      <c r="R6" s="2940" t="s">
        <v>161</v>
      </c>
      <c r="S6" s="2940" t="s">
        <v>2879</v>
      </c>
      <c r="T6" s="2940" t="s">
        <v>2880</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2881</v>
      </c>
      <c r="Q7" s="2940" t="s">
        <v>2882</v>
      </c>
      <c r="R7" s="2940" t="s">
        <v>2883</v>
      </c>
      <c r="S7" s="2940" t="s">
        <v>2884</v>
      </c>
      <c r="T7" s="2940" t="s">
        <v>2885</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2886</v>
      </c>
      <c r="Q8" s="2940" t="s">
        <v>174</v>
      </c>
      <c r="R8" s="2940" t="s">
        <v>2887</v>
      </c>
      <c r="S8" s="2940" t="s">
        <v>2888</v>
      </c>
      <c r="T8" s="2947" t="s">
        <v>2889</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2890</v>
      </c>
      <c r="Q9" s="2940" t="s">
        <v>182</v>
      </c>
      <c r="R9" s="2940" t="s">
        <v>183</v>
      </c>
      <c r="S9" s="2940" t="s">
        <v>200</v>
      </c>
    </row>
    <row r="10" spans="1:20">
      <c r="A10" s="2945" t="s">
        <v>184</v>
      </c>
      <c r="B10" s="2936" t="s">
        <v>2851</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2891</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2892</v>
      </c>
      <c r="P11" s="2940" t="s">
        <v>191</v>
      </c>
      <c r="Q11" s="2940" t="s">
        <v>199</v>
      </c>
      <c r="R11" s="2940" t="s">
        <v>2893</v>
      </c>
      <c r="S11" s="2940" t="s">
        <v>2894</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2895</v>
      </c>
      <c r="P12" s="2940" t="s">
        <v>2896</v>
      </c>
      <c r="Q12" s="2940" t="s">
        <v>2897</v>
      </c>
      <c r="R12" s="2940" t="s">
        <v>2898</v>
      </c>
      <c r="S12" s="2940" t="s">
        <v>2899</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2900</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2901</v>
      </c>
      <c r="K14" s="2941" t="s">
        <v>215</v>
      </c>
      <c r="L14" s="2940" t="s">
        <v>216</v>
      </c>
      <c r="M14" s="2940" t="s">
        <v>217</v>
      </c>
      <c r="N14" s="2940" t="s">
        <v>218</v>
      </c>
      <c r="O14" s="2940" t="s">
        <v>240</v>
      </c>
      <c r="P14" s="2940" t="s">
        <v>213</v>
      </c>
      <c r="Q14" s="2940" t="s">
        <v>2902</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2903</v>
      </c>
      <c r="P15" s="2940" t="s">
        <v>2904</v>
      </c>
      <c r="Q15" s="2940" t="s">
        <v>242</v>
      </c>
      <c r="R15" s="2940" t="s">
        <v>2905</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2906</v>
      </c>
      <c r="P16" s="2940" t="s">
        <v>227</v>
      </c>
      <c r="Q16" s="2940" t="s">
        <v>250</v>
      </c>
      <c r="R16" s="2940" t="s">
        <v>207</v>
      </c>
      <c r="S16" s="2940" t="s">
        <v>2907</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2908</v>
      </c>
      <c r="P17" s="2940" t="s">
        <v>2909</v>
      </c>
      <c r="Q17" s="2940" t="s">
        <v>256</v>
      </c>
      <c r="R17" s="2940" t="s">
        <v>2910</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2911</v>
      </c>
      <c r="P18" s="2940" t="s">
        <v>241</v>
      </c>
      <c r="Q18" s="2940" t="s">
        <v>2912</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2913</v>
      </c>
      <c r="P19" s="2940" t="s">
        <v>249</v>
      </c>
      <c r="Q19" s="2940" t="s">
        <v>2914</v>
      </c>
      <c r="R19" s="2940" t="s">
        <v>265</v>
      </c>
      <c r="S19" s="2940" t="s">
        <v>2915</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2916</v>
      </c>
      <c r="P20" s="2940" t="s">
        <v>2917</v>
      </c>
      <c r="Q20" s="2940" t="s">
        <v>290</v>
      </c>
      <c r="R20" s="2940" t="s">
        <v>2918</v>
      </c>
      <c r="S20" s="2940" t="s">
        <v>277</v>
      </c>
    </row>
    <row r="21" spans="1:19" ht="14.25" customHeight="1" thickBot="1">
      <c r="A21" s="2940" t="s">
        <v>184</v>
      </c>
      <c r="B21" s="2941" t="s">
        <v>208</v>
      </c>
      <c r="C21" s="2940">
        <v>32370</v>
      </c>
      <c r="D21" s="2940">
        <v>26730</v>
      </c>
      <c r="E21" s="2940">
        <v>26640</v>
      </c>
      <c r="F21" s="2940"/>
      <c r="G21" s="2940">
        <v>19440</v>
      </c>
      <c r="J21" s="2947" t="s">
        <v>2919</v>
      </c>
      <c r="K21" s="2941" t="s">
        <v>267</v>
      </c>
      <c r="L21" s="2940" t="s">
        <v>268</v>
      </c>
      <c r="M21" s="2940" t="s">
        <v>269</v>
      </c>
      <c r="N21" s="2940" t="s">
        <v>270</v>
      </c>
      <c r="O21" s="2940" t="s">
        <v>264</v>
      </c>
      <c r="P21" s="2940" t="s">
        <v>283</v>
      </c>
      <c r="Q21" s="2940" t="s">
        <v>293</v>
      </c>
      <c r="R21" s="2940" t="s">
        <v>2920</v>
      </c>
      <c r="S21" s="2947" t="s">
        <v>2921</v>
      </c>
    </row>
    <row r="22" spans="1:19" ht="14.25" customHeight="1">
      <c r="A22" s="2940" t="s">
        <v>184</v>
      </c>
      <c r="B22" s="2941" t="s">
        <v>2901</v>
      </c>
      <c r="C22" s="2940">
        <v>29830</v>
      </c>
      <c r="D22" s="2940">
        <v>27600</v>
      </c>
      <c r="E22" s="2940">
        <v>28150</v>
      </c>
      <c r="F22" s="2940"/>
      <c r="G22" s="2940">
        <v>20080</v>
      </c>
      <c r="K22" s="2941" t="s">
        <v>2922</v>
      </c>
      <c r="L22" s="2940" t="s">
        <v>272</v>
      </c>
      <c r="M22" s="2940" t="s">
        <v>273</v>
      </c>
      <c r="N22" s="2940" t="s">
        <v>274</v>
      </c>
      <c r="O22" s="2940" t="s">
        <v>2923</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2924</v>
      </c>
      <c r="L23" s="2940" t="s">
        <v>278</v>
      </c>
      <c r="M23" s="2940" t="s">
        <v>279</v>
      </c>
      <c r="N23" s="2940" t="s">
        <v>2925</v>
      </c>
      <c r="O23" s="2940" t="s">
        <v>2926</v>
      </c>
      <c r="P23" s="2940" t="s">
        <v>289</v>
      </c>
      <c r="Q23" s="2940" t="s">
        <v>298</v>
      </c>
      <c r="R23" s="2940" t="s">
        <v>2927</v>
      </c>
    </row>
    <row r="24" spans="1:19" ht="14.25" customHeight="1">
      <c r="A24" s="2940" t="s">
        <v>184</v>
      </c>
      <c r="B24" s="2941" t="s">
        <v>230</v>
      </c>
      <c r="C24" s="2940">
        <v>27930</v>
      </c>
      <c r="D24" s="2940">
        <v>32260</v>
      </c>
      <c r="E24" s="2940">
        <v>32120</v>
      </c>
      <c r="F24" s="2940"/>
      <c r="G24" s="2940">
        <v>23470</v>
      </c>
      <c r="K24" s="2941" t="s">
        <v>2928</v>
      </c>
      <c r="L24" s="2940" t="s">
        <v>281</v>
      </c>
      <c r="M24" s="2940" t="s">
        <v>282</v>
      </c>
      <c r="N24" s="2940" t="s">
        <v>2929</v>
      </c>
      <c r="O24" s="2940" t="s">
        <v>285</v>
      </c>
      <c r="P24" s="2940" t="s">
        <v>2930</v>
      </c>
      <c r="Q24" s="2949" t="s">
        <v>2931</v>
      </c>
      <c r="R24" s="2940" t="s">
        <v>2932</v>
      </c>
    </row>
    <row r="25" spans="1:19" ht="14.25" customHeight="1">
      <c r="A25" s="2940" t="s">
        <v>184</v>
      </c>
      <c r="B25" s="2941" t="s">
        <v>235</v>
      </c>
      <c r="C25" s="2940">
        <v>32230</v>
      </c>
      <c r="D25" s="2940">
        <v>29640</v>
      </c>
      <c r="E25" s="2940">
        <v>29510</v>
      </c>
      <c r="F25" s="2940"/>
      <c r="G25" s="2940">
        <v>21560</v>
      </c>
      <c r="K25" s="2941" t="s">
        <v>2933</v>
      </c>
      <c r="L25" s="2940" t="s">
        <v>2934</v>
      </c>
      <c r="M25" s="2940" t="s">
        <v>284</v>
      </c>
      <c r="N25" s="2940" t="s">
        <v>292</v>
      </c>
      <c r="O25" s="2940" t="s">
        <v>288</v>
      </c>
      <c r="P25" s="2940" t="s">
        <v>275</v>
      </c>
      <c r="Q25" s="2949" t="s">
        <v>271</v>
      </c>
      <c r="R25" s="2940" t="s">
        <v>2935</v>
      </c>
    </row>
    <row r="26" spans="1:19" ht="14.25" customHeight="1" thickBot="1">
      <c r="A26" s="2940" t="s">
        <v>184</v>
      </c>
      <c r="B26" s="2941" t="s">
        <v>244</v>
      </c>
      <c r="C26" s="2940">
        <v>31690</v>
      </c>
      <c r="D26" s="2940">
        <v>27650</v>
      </c>
      <c r="E26" s="2940">
        <v>28200</v>
      </c>
      <c r="F26" s="2940"/>
      <c r="G26" s="2940">
        <v>20110</v>
      </c>
      <c r="K26" s="2946" t="s">
        <v>2936</v>
      </c>
      <c r="L26" s="2940" t="s">
        <v>2937</v>
      </c>
      <c r="M26" s="2940" t="s">
        <v>287</v>
      </c>
      <c r="N26" s="2940" t="s">
        <v>294</v>
      </c>
      <c r="O26" s="2940" t="s">
        <v>2938</v>
      </c>
      <c r="P26" s="2940" t="s">
        <v>2939</v>
      </c>
      <c r="Q26" s="2949" t="s">
        <v>276</v>
      </c>
      <c r="R26" s="2940" t="s">
        <v>2940</v>
      </c>
    </row>
    <row r="27" spans="1:19" ht="14.25" customHeight="1">
      <c r="A27" s="2940" t="s">
        <v>184</v>
      </c>
      <c r="B27" s="2941" t="s">
        <v>251</v>
      </c>
      <c r="C27" s="2940">
        <v>29610</v>
      </c>
      <c r="D27" s="2940">
        <v>27770</v>
      </c>
      <c r="E27" s="2940">
        <v>28300</v>
      </c>
      <c r="F27" s="2940"/>
      <c r="G27" s="2940">
        <v>20210</v>
      </c>
      <c r="L27" s="2940" t="s">
        <v>2941</v>
      </c>
      <c r="M27" s="2940" t="s">
        <v>291</v>
      </c>
      <c r="N27" s="2940" t="s">
        <v>297</v>
      </c>
      <c r="O27" s="2940" t="s">
        <v>2942</v>
      </c>
      <c r="P27" s="2940" t="s">
        <v>2943</v>
      </c>
      <c r="Q27" s="2940" t="s">
        <v>2944</v>
      </c>
      <c r="R27" s="2940" t="s">
        <v>2945</v>
      </c>
    </row>
    <row r="28" spans="1:19" ht="14.25" customHeight="1">
      <c r="A28" s="2940" t="s">
        <v>184</v>
      </c>
      <c r="B28" s="2941" t="s">
        <v>259</v>
      </c>
      <c r="C28" s="2940"/>
      <c r="D28" s="2940">
        <v>31520</v>
      </c>
      <c r="E28" s="2940">
        <v>31410</v>
      </c>
      <c r="F28" s="2940"/>
      <c r="G28" s="2940">
        <v>22940</v>
      </c>
      <c r="L28" s="2940" t="s">
        <v>2946</v>
      </c>
      <c r="M28" s="2940" t="s">
        <v>2947</v>
      </c>
      <c r="N28" s="2940" t="s">
        <v>2948</v>
      </c>
      <c r="O28" s="2940" t="s">
        <v>2949</v>
      </c>
      <c r="P28" s="2940" t="s">
        <v>2950</v>
      </c>
      <c r="Q28" s="2940" t="s">
        <v>2951</v>
      </c>
      <c r="R28" s="2940" t="s">
        <v>2952</v>
      </c>
    </row>
    <row r="29" spans="1:19" ht="14.25" customHeight="1" thickBot="1">
      <c r="A29" s="2948" t="s">
        <v>184</v>
      </c>
      <c r="B29" s="2950" t="s">
        <v>2919</v>
      </c>
      <c r="C29" s="2951"/>
      <c r="D29" s="2951">
        <v>29460</v>
      </c>
      <c r="E29" s="2951">
        <v>28640</v>
      </c>
      <c r="F29" s="2951"/>
      <c r="G29" s="2951">
        <v>21430</v>
      </c>
      <c r="L29" s="2940" t="s">
        <v>2953</v>
      </c>
      <c r="M29" s="2940" t="s">
        <v>2954</v>
      </c>
      <c r="N29" s="2940" t="s">
        <v>2955</v>
      </c>
      <c r="O29" s="2940" t="s">
        <v>2956</v>
      </c>
      <c r="P29" s="2940" t="s">
        <v>2957</v>
      </c>
      <c r="Q29" s="2940" t="s">
        <v>2958</v>
      </c>
      <c r="R29" s="2940" t="s">
        <v>280</v>
      </c>
    </row>
    <row r="30" spans="1:19" ht="14.25" customHeight="1">
      <c r="A30" s="2945" t="s">
        <v>296</v>
      </c>
      <c r="B30" s="2936" t="s">
        <v>2852</v>
      </c>
      <c r="C30" s="2936">
        <v>26890</v>
      </c>
      <c r="D30" s="2936">
        <v>26770</v>
      </c>
      <c r="E30" s="2936">
        <v>25700</v>
      </c>
      <c r="F30" s="2936">
        <v>8180</v>
      </c>
      <c r="G30" s="2952">
        <v>18740</v>
      </c>
      <c r="L30" s="2940" t="s">
        <v>2959</v>
      </c>
      <c r="M30" s="2940" t="s">
        <v>2960</v>
      </c>
      <c r="N30" s="2940" t="s">
        <v>2961</v>
      </c>
      <c r="O30" s="2940" t="s">
        <v>2962</v>
      </c>
      <c r="P30" s="2940" t="s">
        <v>2963</v>
      </c>
      <c r="Q30" s="2940" t="s">
        <v>2964</v>
      </c>
      <c r="R30" s="2940" t="s">
        <v>2965</v>
      </c>
    </row>
    <row r="31" spans="1:19" ht="14.25" customHeight="1">
      <c r="A31" s="2940" t="s">
        <v>296</v>
      </c>
      <c r="B31" s="2941" t="s">
        <v>129</v>
      </c>
      <c r="C31" s="2940">
        <v>24550</v>
      </c>
      <c r="D31" s="2940">
        <v>23990</v>
      </c>
      <c r="E31" s="2940">
        <v>22930</v>
      </c>
      <c r="F31" s="2940">
        <v>7470</v>
      </c>
      <c r="G31" s="2953">
        <v>16790</v>
      </c>
      <c r="L31" s="2940" t="s">
        <v>2966</v>
      </c>
      <c r="M31" s="2940" t="s">
        <v>2967</v>
      </c>
      <c r="N31" s="2940" t="s">
        <v>2968</v>
      </c>
      <c r="O31" s="2940" t="s">
        <v>2969</v>
      </c>
      <c r="P31" s="2940" t="s">
        <v>2970</v>
      </c>
      <c r="Q31" s="2940" t="s">
        <v>2971</v>
      </c>
      <c r="R31" s="2940" t="s">
        <v>2972</v>
      </c>
    </row>
    <row r="32" spans="1:19" ht="14.25" customHeight="1" thickBot="1">
      <c r="A32" s="2940" t="s">
        <v>296</v>
      </c>
      <c r="B32" s="2941" t="s">
        <v>138</v>
      </c>
      <c r="C32" s="2940">
        <v>27210</v>
      </c>
      <c r="D32" s="2940">
        <v>23240</v>
      </c>
      <c r="E32" s="2940">
        <v>23260</v>
      </c>
      <c r="F32" s="2940">
        <v>7130</v>
      </c>
      <c r="G32" s="2953">
        <v>16270</v>
      </c>
      <c r="L32" s="2940" t="s">
        <v>2973</v>
      </c>
      <c r="M32" s="2940" t="s">
        <v>2974</v>
      </c>
      <c r="N32" s="2940" t="s">
        <v>300</v>
      </c>
      <c r="O32" s="2940" t="s">
        <v>2975</v>
      </c>
      <c r="P32" s="2940" t="s">
        <v>299</v>
      </c>
      <c r="Q32" s="2940" t="s">
        <v>2976</v>
      </c>
      <c r="R32" s="2947" t="s">
        <v>2977</v>
      </c>
    </row>
    <row r="33" spans="1:17" ht="14.25" customHeight="1" thickBot="1">
      <c r="A33" s="2940" t="s">
        <v>296</v>
      </c>
      <c r="B33" s="2941" t="s">
        <v>147</v>
      </c>
      <c r="C33" s="2940">
        <v>27300</v>
      </c>
      <c r="D33" s="2940">
        <v>22980</v>
      </c>
      <c r="E33" s="2940">
        <v>24260</v>
      </c>
      <c r="F33" s="2940">
        <v>5860</v>
      </c>
      <c r="G33" s="2953">
        <v>16090</v>
      </c>
      <c r="L33" s="2947" t="s">
        <v>2978</v>
      </c>
      <c r="M33" s="2940" t="s">
        <v>2979</v>
      </c>
      <c r="N33" s="2940" t="s">
        <v>301</v>
      </c>
      <c r="O33" s="2940" t="s">
        <v>2980</v>
      </c>
      <c r="P33" s="2940" t="s">
        <v>2981</v>
      </c>
      <c r="Q33" s="2940" t="s">
        <v>2982</v>
      </c>
    </row>
    <row r="34" spans="1:17" ht="14.25" customHeight="1">
      <c r="A34" s="2940" t="s">
        <v>296</v>
      </c>
      <c r="B34" s="2941" t="s">
        <v>156</v>
      </c>
      <c r="C34" s="2940">
        <v>23090</v>
      </c>
      <c r="D34" s="2940">
        <v>23390</v>
      </c>
      <c r="E34" s="2940">
        <v>23510</v>
      </c>
      <c r="F34" s="2940">
        <v>6700</v>
      </c>
      <c r="G34" s="2953">
        <v>16370</v>
      </c>
      <c r="M34" s="2940" t="s">
        <v>2983</v>
      </c>
      <c r="N34" s="2940" t="s">
        <v>302</v>
      </c>
      <c r="O34" s="2940" t="s">
        <v>2984</v>
      </c>
      <c r="P34" s="2940" t="s">
        <v>2985</v>
      </c>
      <c r="Q34" s="2940" t="s">
        <v>2986</v>
      </c>
    </row>
    <row r="35" spans="1:17" ht="14.25" customHeight="1">
      <c r="A35" s="2940" t="s">
        <v>296</v>
      </c>
      <c r="B35" s="2941" t="s">
        <v>163</v>
      </c>
      <c r="C35" s="2940">
        <v>27270</v>
      </c>
      <c r="D35" s="2940">
        <v>24270</v>
      </c>
      <c r="E35" s="2940">
        <v>24950</v>
      </c>
      <c r="F35" s="2940">
        <v>6600</v>
      </c>
      <c r="G35" s="2953">
        <v>16990</v>
      </c>
      <c r="M35" s="2940" t="s">
        <v>2987</v>
      </c>
      <c r="N35" s="2940" t="s">
        <v>2988</v>
      </c>
      <c r="O35" s="2940" t="s">
        <v>2989</v>
      </c>
      <c r="P35" s="2940" t="s">
        <v>2990</v>
      </c>
      <c r="Q35" s="2940" t="s">
        <v>2991</v>
      </c>
    </row>
    <row r="36" spans="1:17" ht="14.25" customHeight="1">
      <c r="A36" s="2940" t="s">
        <v>296</v>
      </c>
      <c r="B36" s="2941" t="s">
        <v>169</v>
      </c>
      <c r="C36" s="2940">
        <v>23490</v>
      </c>
      <c r="D36" s="2940">
        <v>23020</v>
      </c>
      <c r="E36" s="2940">
        <v>25230</v>
      </c>
      <c r="F36" s="2940">
        <v>6780</v>
      </c>
      <c r="G36" s="2953">
        <v>16120</v>
      </c>
      <c r="M36" s="2940" t="s">
        <v>2992</v>
      </c>
      <c r="N36" s="2940" t="s">
        <v>2993</v>
      </c>
      <c r="O36" s="2940" t="s">
        <v>2994</v>
      </c>
      <c r="P36" s="2940" t="s">
        <v>2995</v>
      </c>
      <c r="Q36" s="2940" t="s">
        <v>2996</v>
      </c>
    </row>
    <row r="37" spans="1:17" ht="14.25" customHeight="1">
      <c r="A37" s="2940" t="s">
        <v>296</v>
      </c>
      <c r="B37" s="2941" t="s">
        <v>176</v>
      </c>
      <c r="C37" s="2940">
        <v>24380</v>
      </c>
      <c r="D37" s="2940">
        <v>22240</v>
      </c>
      <c r="E37" s="2940">
        <v>25980</v>
      </c>
      <c r="F37" s="2940">
        <v>8160</v>
      </c>
      <c r="G37" s="2953">
        <v>15570</v>
      </c>
      <c r="M37" s="2940" t="s">
        <v>2997</v>
      </c>
      <c r="N37" s="2940" t="s">
        <v>2998</v>
      </c>
      <c r="O37" s="2940" t="s">
        <v>2999</v>
      </c>
      <c r="P37" s="2940" t="s">
        <v>3000</v>
      </c>
      <c r="Q37" s="2940" t="s">
        <v>3001</v>
      </c>
    </row>
    <row r="38" spans="1:17" ht="14.25" customHeight="1">
      <c r="A38" s="2940" t="s">
        <v>296</v>
      </c>
      <c r="B38" s="2941" t="s">
        <v>186</v>
      </c>
      <c r="C38" s="2940">
        <v>23120</v>
      </c>
      <c r="D38" s="2940">
        <v>24630</v>
      </c>
      <c r="E38" s="2940">
        <v>25030</v>
      </c>
      <c r="F38" s="2940">
        <v>7710</v>
      </c>
      <c r="G38" s="2953">
        <v>17240</v>
      </c>
      <c r="M38" s="2940" t="s">
        <v>3002</v>
      </c>
      <c r="N38" s="2940" t="s">
        <v>3003</v>
      </c>
      <c r="O38" s="2940" t="s">
        <v>3004</v>
      </c>
      <c r="P38" s="2940" t="s">
        <v>3005</v>
      </c>
      <c r="Q38" s="2940" t="s">
        <v>3006</v>
      </c>
    </row>
    <row r="39" spans="1:17" ht="14.25" customHeight="1">
      <c r="A39" s="2940" t="s">
        <v>296</v>
      </c>
      <c r="B39" s="2941" t="s">
        <v>195</v>
      </c>
      <c r="C39" s="2940">
        <v>22330</v>
      </c>
      <c r="D39" s="2940">
        <v>21140</v>
      </c>
      <c r="E39" s="2940">
        <v>23970</v>
      </c>
      <c r="F39" s="2940">
        <v>7940</v>
      </c>
      <c r="G39" s="2953">
        <v>14790</v>
      </c>
      <c r="M39" s="2940" t="s">
        <v>3007</v>
      </c>
      <c r="N39" s="2940" t="s">
        <v>3008</v>
      </c>
      <c r="O39" s="2940" t="s">
        <v>3009</v>
      </c>
      <c r="P39" s="2940" t="s">
        <v>3010</v>
      </c>
      <c r="Q39" s="2940" t="s">
        <v>3011</v>
      </c>
    </row>
    <row r="40" spans="1:17" ht="14.25" customHeight="1">
      <c r="A40" s="2940" t="s">
        <v>296</v>
      </c>
      <c r="B40" s="2941" t="s">
        <v>202</v>
      </c>
      <c r="C40" s="2940">
        <v>24740</v>
      </c>
      <c r="D40" s="2940">
        <v>24690</v>
      </c>
      <c r="E40" s="2940">
        <v>22610</v>
      </c>
      <c r="F40" s="2940"/>
      <c r="G40" s="2953">
        <v>17280</v>
      </c>
      <c r="M40" s="2940" t="s">
        <v>3012</v>
      </c>
      <c r="N40" s="2940" t="s">
        <v>3013</v>
      </c>
      <c r="O40" s="2940" t="s">
        <v>3014</v>
      </c>
      <c r="P40" s="2940" t="s">
        <v>3015</v>
      </c>
      <c r="Q40" s="2940" t="s">
        <v>3016</v>
      </c>
    </row>
    <row r="41" spans="1:17" ht="14.25" customHeight="1" thickBot="1">
      <c r="A41" s="2940" t="s">
        <v>296</v>
      </c>
      <c r="B41" s="2941" t="s">
        <v>209</v>
      </c>
      <c r="C41" s="2940">
        <v>21220</v>
      </c>
      <c r="D41" s="2940">
        <v>21120</v>
      </c>
      <c r="E41" s="2940">
        <v>22590</v>
      </c>
      <c r="F41" s="2940"/>
      <c r="G41" s="2953">
        <v>14780</v>
      </c>
      <c r="M41" s="2947" t="s">
        <v>3017</v>
      </c>
      <c r="N41" s="2940" t="s">
        <v>3018</v>
      </c>
      <c r="O41" s="2940" t="s">
        <v>3019</v>
      </c>
      <c r="P41" s="2940" t="s">
        <v>3020</v>
      </c>
      <c r="Q41" s="2940" t="s">
        <v>3021</v>
      </c>
    </row>
    <row r="42" spans="1:17" ht="14.25" customHeight="1">
      <c r="A42" s="2940" t="s">
        <v>296</v>
      </c>
      <c r="B42" s="2941" t="s">
        <v>215</v>
      </c>
      <c r="C42" s="2940">
        <v>24800</v>
      </c>
      <c r="D42" s="2940">
        <v>22280</v>
      </c>
      <c r="E42" s="2940">
        <v>24350</v>
      </c>
      <c r="F42" s="2940"/>
      <c r="G42" s="2953">
        <v>15590</v>
      </c>
      <c r="N42" s="2940" t="s">
        <v>3022</v>
      </c>
      <c r="O42" s="2940" t="s">
        <v>3023</v>
      </c>
      <c r="P42" s="2940" t="s">
        <v>3024</v>
      </c>
      <c r="Q42" s="2940" t="s">
        <v>3025</v>
      </c>
    </row>
    <row r="43" spans="1:17" ht="14.25" customHeight="1">
      <c r="A43" s="2940" t="s">
        <v>3026</v>
      </c>
      <c r="B43" s="2941" t="s">
        <v>223</v>
      </c>
      <c r="C43" s="2940">
        <v>21210</v>
      </c>
      <c r="D43" s="2940">
        <v>21160</v>
      </c>
      <c r="E43" s="2940">
        <v>22650</v>
      </c>
      <c r="F43" s="2940"/>
      <c r="G43" s="2953">
        <v>14800</v>
      </c>
      <c r="N43" s="2940" t="s">
        <v>3027</v>
      </c>
      <c r="O43" s="2940" t="s">
        <v>3028</v>
      </c>
      <c r="P43" s="2940" t="s">
        <v>3029</v>
      </c>
      <c r="Q43" s="2940" t="s">
        <v>3030</v>
      </c>
    </row>
    <row r="44" spans="1:17" ht="14.25" customHeight="1" thickBot="1">
      <c r="A44" s="2940" t="s">
        <v>296</v>
      </c>
      <c r="B44" s="2941" t="s">
        <v>231</v>
      </c>
      <c r="C44" s="2940">
        <v>22370</v>
      </c>
      <c r="D44" s="2940">
        <v>23140</v>
      </c>
      <c r="E44" s="2940">
        <v>25090</v>
      </c>
      <c r="F44" s="2940"/>
      <c r="G44" s="2953">
        <v>16190</v>
      </c>
      <c r="N44" s="2940" t="s">
        <v>3031</v>
      </c>
      <c r="O44" s="2940" t="s">
        <v>3032</v>
      </c>
      <c r="P44" s="2947" t="s">
        <v>3033</v>
      </c>
      <c r="Q44" s="2940" t="s">
        <v>3034</v>
      </c>
    </row>
    <row r="45" spans="1:17" ht="14.25" customHeight="1" thickBot="1">
      <c r="A45" s="2940" t="s">
        <v>296</v>
      </c>
      <c r="B45" s="2941" t="s">
        <v>236</v>
      </c>
      <c r="C45" s="2940">
        <v>21240</v>
      </c>
      <c r="D45" s="2940">
        <v>27050</v>
      </c>
      <c r="E45" s="2940">
        <v>28000</v>
      </c>
      <c r="F45" s="2940"/>
      <c r="G45" s="2953">
        <v>18940</v>
      </c>
      <c r="N45" s="2940" t="s">
        <v>3035</v>
      </c>
      <c r="O45" s="2947" t="s">
        <v>3036</v>
      </c>
      <c r="Q45" s="2940" t="s">
        <v>3037</v>
      </c>
    </row>
    <row r="46" spans="1:17" ht="14.25" customHeight="1">
      <c r="A46" s="2940" t="s">
        <v>296</v>
      </c>
      <c r="B46" s="2941" t="s">
        <v>245</v>
      </c>
      <c r="C46" s="2940">
        <v>23240</v>
      </c>
      <c r="D46" s="2940">
        <v>23000</v>
      </c>
      <c r="E46" s="2940">
        <v>24980</v>
      </c>
      <c r="F46" s="2940"/>
      <c r="G46" s="2953">
        <v>16100</v>
      </c>
      <c r="N46" s="2940" t="s">
        <v>3038</v>
      </c>
      <c r="Q46" s="2940" t="s">
        <v>3039</v>
      </c>
    </row>
    <row r="47" spans="1:17" ht="14.25" customHeight="1">
      <c r="A47" s="2940" t="s">
        <v>296</v>
      </c>
      <c r="B47" s="2941" t="s">
        <v>252</v>
      </c>
      <c r="C47" s="2940">
        <v>27150</v>
      </c>
      <c r="D47" s="2940">
        <v>23310</v>
      </c>
      <c r="E47" s="2940">
        <v>25150</v>
      </c>
      <c r="F47" s="2940"/>
      <c r="G47" s="2953">
        <v>16310</v>
      </c>
      <c r="N47" s="2940" t="s">
        <v>3040</v>
      </c>
      <c r="Q47" s="2940" t="s">
        <v>3041</v>
      </c>
    </row>
    <row r="48" spans="1:17" ht="14.25" customHeight="1">
      <c r="A48" s="2940" t="s">
        <v>296</v>
      </c>
      <c r="B48" s="2941" t="s">
        <v>260</v>
      </c>
      <c r="C48" s="2940">
        <v>23100</v>
      </c>
      <c r="D48" s="2940">
        <v>21110</v>
      </c>
      <c r="E48" s="2940">
        <v>23080</v>
      </c>
      <c r="F48" s="2940"/>
      <c r="G48" s="2953">
        <v>14780</v>
      </c>
      <c r="N48" s="2940" t="s">
        <v>3042</v>
      </c>
      <c r="Q48" s="2940" t="s">
        <v>3043</v>
      </c>
    </row>
    <row r="49" spans="1:17" ht="14.25" customHeight="1">
      <c r="A49" s="2940" t="s">
        <v>296</v>
      </c>
      <c r="B49" s="2941" t="s">
        <v>267</v>
      </c>
      <c r="C49" s="2940">
        <v>23400</v>
      </c>
      <c r="D49" s="2940">
        <v>22920</v>
      </c>
      <c r="E49" s="2940">
        <v>24900</v>
      </c>
      <c r="F49" s="2940"/>
      <c r="G49" s="2953">
        <v>16040</v>
      </c>
      <c r="N49" s="2940" t="s">
        <v>3044</v>
      </c>
      <c r="Q49" s="2940" t="s">
        <v>3045</v>
      </c>
    </row>
    <row r="50" spans="1:17" ht="14.25" customHeight="1">
      <c r="A50" s="2940" t="s">
        <v>296</v>
      </c>
      <c r="B50" s="2941" t="s">
        <v>2922</v>
      </c>
      <c r="C50" s="2940">
        <v>21200</v>
      </c>
      <c r="D50" s="2940">
        <v>26540</v>
      </c>
      <c r="E50" s="2940">
        <v>23200</v>
      </c>
      <c r="F50" s="2940"/>
      <c r="G50" s="2953">
        <v>18580</v>
      </c>
      <c r="N50" s="2940" t="s">
        <v>3046</v>
      </c>
      <c r="Q50" s="2941" t="s">
        <v>3047</v>
      </c>
    </row>
    <row r="51" spans="1:17" ht="14.25" customHeight="1" thickBot="1">
      <c r="A51" s="2940" t="s">
        <v>296</v>
      </c>
      <c r="B51" s="2941" t="s">
        <v>2924</v>
      </c>
      <c r="C51" s="2940">
        <v>23000</v>
      </c>
      <c r="D51" s="2940">
        <v>23460</v>
      </c>
      <c r="E51" s="2940">
        <v>25290</v>
      </c>
      <c r="F51" s="2940"/>
      <c r="G51" s="2953">
        <v>16420</v>
      </c>
      <c r="N51" s="2940" t="s">
        <v>3048</v>
      </c>
      <c r="Q51" s="2947" t="s">
        <v>3049</v>
      </c>
    </row>
    <row r="52" spans="1:17" ht="14.25" customHeight="1">
      <c r="A52" s="2940" t="s">
        <v>296</v>
      </c>
      <c r="B52" s="2941" t="s">
        <v>2928</v>
      </c>
      <c r="C52" s="2940">
        <v>26660</v>
      </c>
      <c r="D52" s="2940">
        <v>22350</v>
      </c>
      <c r="E52" s="2940">
        <v>22920</v>
      </c>
      <c r="F52" s="2940"/>
      <c r="G52" s="2953">
        <v>15640</v>
      </c>
      <c r="N52" s="2940" t="s">
        <v>3050</v>
      </c>
    </row>
    <row r="53" spans="1:17" ht="14.25" customHeight="1">
      <c r="A53" s="2940" t="s">
        <v>296</v>
      </c>
      <c r="B53" s="2941" t="s">
        <v>2933</v>
      </c>
      <c r="C53" s="2940">
        <v>23580</v>
      </c>
      <c r="D53" s="2940"/>
      <c r="E53" s="2940">
        <v>24280</v>
      </c>
      <c r="F53" s="2940"/>
      <c r="G53" s="2953"/>
      <c r="N53" s="2940" t="s">
        <v>3051</v>
      </c>
    </row>
    <row r="54" spans="1:17" ht="14.25" customHeight="1" thickBot="1">
      <c r="A54" s="2954" t="s">
        <v>296</v>
      </c>
      <c r="B54" s="2946" t="s">
        <v>2936</v>
      </c>
      <c r="C54" s="2947">
        <v>22460</v>
      </c>
      <c r="D54" s="2947"/>
      <c r="E54" s="2947"/>
      <c r="F54" s="2947"/>
      <c r="G54" s="2955"/>
      <c r="N54" s="2940" t="s">
        <v>3052</v>
      </c>
    </row>
    <row r="55" spans="1:17" ht="14.25" customHeight="1">
      <c r="A55" s="2945" t="s">
        <v>110</v>
      </c>
      <c r="B55" s="2936" t="s">
        <v>3053</v>
      </c>
      <c r="C55" s="2940">
        <v>21970</v>
      </c>
      <c r="D55" s="2940">
        <v>20370</v>
      </c>
      <c r="E55" s="2940">
        <v>20180</v>
      </c>
      <c r="F55" s="2940">
        <v>5730</v>
      </c>
      <c r="G55" s="2940">
        <v>13820</v>
      </c>
      <c r="N55" s="2940" t="s">
        <v>3054</v>
      </c>
    </row>
    <row r="56" spans="1:17" ht="14.25" customHeight="1">
      <c r="A56" s="2940" t="s">
        <v>110</v>
      </c>
      <c r="B56" s="2940" t="s">
        <v>130</v>
      </c>
      <c r="C56" s="2940">
        <v>20470</v>
      </c>
      <c r="D56" s="2940">
        <v>20700</v>
      </c>
      <c r="E56" s="2940">
        <v>20380</v>
      </c>
      <c r="F56" s="2940">
        <v>4760</v>
      </c>
      <c r="G56" s="2940">
        <v>14050</v>
      </c>
      <c r="N56" s="2940" t="s">
        <v>3055</v>
      </c>
    </row>
    <row r="57" spans="1:17" ht="14.25" customHeight="1">
      <c r="A57" s="2940" t="s">
        <v>110</v>
      </c>
      <c r="B57" s="2940" t="s">
        <v>139</v>
      </c>
      <c r="C57" s="2940">
        <v>20790</v>
      </c>
      <c r="D57" s="2940">
        <v>21370</v>
      </c>
      <c r="E57" s="2940">
        <v>20890</v>
      </c>
      <c r="F57" s="2940">
        <v>4910</v>
      </c>
      <c r="G57" s="2940">
        <v>14510</v>
      </c>
      <c r="N57" s="2940" t="s">
        <v>3056</v>
      </c>
    </row>
    <row r="58" spans="1:17" ht="14.25" customHeight="1">
      <c r="A58" s="2940" t="s">
        <v>110</v>
      </c>
      <c r="B58" s="2940" t="s">
        <v>148</v>
      </c>
      <c r="C58" s="2940">
        <v>21460</v>
      </c>
      <c r="D58" s="2940">
        <v>20920</v>
      </c>
      <c r="E58" s="2940">
        <v>23410</v>
      </c>
      <c r="F58" s="2940">
        <v>5100</v>
      </c>
      <c r="G58" s="2940">
        <v>14200</v>
      </c>
      <c r="N58" s="2940" t="s">
        <v>3057</v>
      </c>
    </row>
    <row r="59" spans="1:17" ht="14.25" customHeight="1">
      <c r="A59" s="2940" t="s">
        <v>110</v>
      </c>
      <c r="B59" s="2940" t="s">
        <v>157</v>
      </c>
      <c r="C59" s="2940">
        <v>21000</v>
      </c>
      <c r="D59" s="2940">
        <v>21550</v>
      </c>
      <c r="E59" s="2940">
        <v>21150</v>
      </c>
      <c r="F59" s="2940">
        <v>5250</v>
      </c>
      <c r="G59" s="2940">
        <v>14630</v>
      </c>
      <c r="N59" s="2940" t="s">
        <v>3058</v>
      </c>
    </row>
    <row r="60" spans="1:17" ht="14.25" customHeight="1">
      <c r="A60" s="2940" t="s">
        <v>110</v>
      </c>
      <c r="B60" s="2940" t="s">
        <v>164</v>
      </c>
      <c r="C60" s="2940">
        <v>21640</v>
      </c>
      <c r="D60" s="2940">
        <v>21260</v>
      </c>
      <c r="E60" s="2940">
        <v>24040</v>
      </c>
      <c r="F60" s="2940">
        <v>4470</v>
      </c>
      <c r="G60" s="2940">
        <v>14430</v>
      </c>
      <c r="N60" s="2940" t="s">
        <v>3059</v>
      </c>
    </row>
    <row r="61" spans="1:17" ht="14.25" customHeight="1">
      <c r="A61" s="2940" t="s">
        <v>110</v>
      </c>
      <c r="B61" s="2940" t="s">
        <v>170</v>
      </c>
      <c r="C61" s="2940">
        <v>21330</v>
      </c>
      <c r="D61" s="2940">
        <v>18640</v>
      </c>
      <c r="E61" s="2940">
        <v>21190</v>
      </c>
      <c r="F61" s="2940">
        <v>4180</v>
      </c>
      <c r="G61" s="2940">
        <v>12650</v>
      </c>
      <c r="N61" s="2940" t="s">
        <v>3060</v>
      </c>
    </row>
    <row r="62" spans="1:17" ht="14.25" customHeight="1">
      <c r="A62" s="2940" t="s">
        <v>110</v>
      </c>
      <c r="B62" s="2940" t="s">
        <v>177</v>
      </c>
      <c r="C62" s="2940">
        <v>18710</v>
      </c>
      <c r="D62" s="2940">
        <v>19400</v>
      </c>
      <c r="E62" s="2940">
        <v>23750</v>
      </c>
      <c r="F62" s="2940">
        <v>4860</v>
      </c>
      <c r="G62" s="2940">
        <v>13170</v>
      </c>
      <c r="N62" s="2940" t="s">
        <v>3061</v>
      </c>
    </row>
    <row r="63" spans="1:17" ht="14.25" customHeight="1">
      <c r="A63" s="2940" t="s">
        <v>110</v>
      </c>
      <c r="B63" s="2940" t="s">
        <v>187</v>
      </c>
      <c r="C63" s="2940">
        <v>19480</v>
      </c>
      <c r="D63" s="2940">
        <v>16830</v>
      </c>
      <c r="E63" s="2940">
        <v>21590</v>
      </c>
      <c r="F63" s="2940">
        <v>4560</v>
      </c>
      <c r="G63" s="2940">
        <v>11420</v>
      </c>
      <c r="N63" s="2940" t="s">
        <v>3062</v>
      </c>
    </row>
    <row r="64" spans="1:17" ht="14.25" customHeight="1" thickBot="1">
      <c r="A64" s="2940" t="s">
        <v>110</v>
      </c>
      <c r="B64" s="2940" t="s">
        <v>196</v>
      </c>
      <c r="C64" s="2940">
        <v>16920</v>
      </c>
      <c r="D64" s="2940">
        <v>19190</v>
      </c>
      <c r="E64" s="2940">
        <v>22200</v>
      </c>
      <c r="F64" s="2940">
        <v>4390</v>
      </c>
      <c r="G64" s="2940">
        <v>13030</v>
      </c>
      <c r="N64" s="2947" t="s">
        <v>3063</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2934</v>
      </c>
      <c r="C78" s="2940">
        <v>19820</v>
      </c>
      <c r="D78" s="2940">
        <v>19780</v>
      </c>
      <c r="E78" s="2940">
        <v>18560</v>
      </c>
      <c r="F78" s="2940"/>
      <c r="G78" s="2940">
        <v>13430</v>
      </c>
    </row>
    <row r="79" spans="1:7" s="2774" customFormat="1" ht="14.25" customHeight="1">
      <c r="A79" s="2940" t="s">
        <v>110</v>
      </c>
      <c r="B79" s="2940" t="s">
        <v>2937</v>
      </c>
      <c r="C79" s="2940">
        <v>21660</v>
      </c>
      <c r="D79" s="2940">
        <v>18000</v>
      </c>
      <c r="E79" s="2940">
        <v>22570</v>
      </c>
      <c r="F79" s="2940"/>
      <c r="G79" s="2940">
        <v>12220</v>
      </c>
    </row>
    <row r="80" spans="1:7" s="2774" customFormat="1" ht="14.25" customHeight="1">
      <c r="A80" s="2940" t="s">
        <v>110</v>
      </c>
      <c r="B80" s="2940" t="s">
        <v>2941</v>
      </c>
      <c r="C80" s="2940">
        <v>19850</v>
      </c>
      <c r="D80" s="2940"/>
      <c r="E80" s="2940">
        <v>21700</v>
      </c>
      <c r="F80" s="2940"/>
      <c r="G80" s="2940"/>
    </row>
    <row r="81" spans="1:7" s="2774" customFormat="1" ht="14.25" customHeight="1">
      <c r="A81" s="2940" t="s">
        <v>110</v>
      </c>
      <c r="B81" s="2940" t="s">
        <v>2946</v>
      </c>
      <c r="C81" s="2940">
        <v>18080</v>
      </c>
      <c r="D81" s="2940"/>
      <c r="E81" s="2940">
        <v>20900</v>
      </c>
      <c r="F81" s="2940"/>
      <c r="G81" s="2940"/>
    </row>
    <row r="82" spans="1:7" s="2774" customFormat="1" ht="14.25" customHeight="1">
      <c r="A82" s="2940" t="s">
        <v>110</v>
      </c>
      <c r="B82" s="2940" t="s">
        <v>2953</v>
      </c>
      <c r="C82" s="2940"/>
      <c r="D82" s="2940"/>
      <c r="E82" s="2940">
        <v>20840</v>
      </c>
      <c r="F82" s="2940"/>
      <c r="G82" s="2940"/>
    </row>
    <row r="83" spans="1:7" s="2774" customFormat="1" ht="14.25" customHeight="1">
      <c r="A83" s="2940" t="s">
        <v>110</v>
      </c>
      <c r="B83" s="2940" t="s">
        <v>3064</v>
      </c>
      <c r="C83" s="2940"/>
      <c r="D83" s="2940"/>
      <c r="E83" s="2940"/>
      <c r="F83" s="2940">
        <v>4770</v>
      </c>
      <c r="G83" s="2940"/>
    </row>
    <row r="84" spans="1:7" s="2774" customFormat="1" ht="14.25" customHeight="1">
      <c r="A84" s="2940" t="s">
        <v>110</v>
      </c>
      <c r="B84" s="2940" t="s">
        <v>3065</v>
      </c>
      <c r="C84" s="2940"/>
      <c r="D84" s="2940"/>
      <c r="E84" s="2940"/>
      <c r="F84" s="2940">
        <v>4600</v>
      </c>
      <c r="G84" s="2940"/>
    </row>
    <row r="85" spans="1:7" s="2774" customFormat="1" ht="14.25" customHeight="1">
      <c r="A85" s="2940" t="s">
        <v>110</v>
      </c>
      <c r="B85" s="2940" t="s">
        <v>3066</v>
      </c>
      <c r="C85" s="2940"/>
      <c r="D85" s="2940"/>
      <c r="E85" s="2940"/>
      <c r="F85" s="2940">
        <v>4680</v>
      </c>
      <c r="G85" s="2940"/>
    </row>
    <row r="86" spans="1:7" s="2774" customFormat="1" ht="14.25" customHeight="1" thickBot="1">
      <c r="A86" s="2948" t="s">
        <v>110</v>
      </c>
      <c r="B86" s="2950" t="s">
        <v>3067</v>
      </c>
      <c r="C86" s="2951">
        <v>16610</v>
      </c>
      <c r="D86" s="2951">
        <v>16540</v>
      </c>
      <c r="E86" s="2951">
        <v>18850</v>
      </c>
      <c r="F86" s="2951"/>
      <c r="G86" s="2951">
        <v>11220</v>
      </c>
    </row>
    <row r="87" spans="1:7" s="2774" customFormat="1" ht="14.25" customHeight="1">
      <c r="A87" s="2945" t="s">
        <v>303</v>
      </c>
      <c r="B87" s="2936" t="s">
        <v>3068</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2947</v>
      </c>
      <c r="C113" s="2940">
        <v>15520</v>
      </c>
      <c r="D113" s="2940">
        <v>15450</v>
      </c>
      <c r="E113" s="2940"/>
      <c r="F113" s="2940"/>
      <c r="G113" s="2953">
        <v>10210</v>
      </c>
    </row>
    <row r="114" spans="1:7" s="2774" customFormat="1" ht="14.25" customHeight="1">
      <c r="A114" s="2940" t="s">
        <v>303</v>
      </c>
      <c r="B114" s="2940" t="s">
        <v>2954</v>
      </c>
      <c r="C114" s="2940">
        <v>13110</v>
      </c>
      <c r="D114" s="2940">
        <v>13050</v>
      </c>
      <c r="E114" s="2940"/>
      <c r="F114" s="2940"/>
      <c r="G114" s="2953">
        <v>8620</v>
      </c>
    </row>
    <row r="115" spans="1:7" s="2774" customFormat="1" ht="14.25" customHeight="1">
      <c r="A115" s="2940" t="s">
        <v>303</v>
      </c>
      <c r="B115" s="2940" t="s">
        <v>2960</v>
      </c>
      <c r="C115" s="2940">
        <v>12460</v>
      </c>
      <c r="D115" s="2940">
        <v>12390</v>
      </c>
      <c r="E115" s="2940"/>
      <c r="F115" s="2940"/>
      <c r="G115" s="2953">
        <v>8190</v>
      </c>
    </row>
    <row r="116" spans="1:7" s="2774" customFormat="1" ht="14.25" customHeight="1">
      <c r="A116" s="2940" t="s">
        <v>303</v>
      </c>
      <c r="B116" s="2940" t="s">
        <v>2967</v>
      </c>
      <c r="C116" s="2940">
        <v>13580</v>
      </c>
      <c r="D116" s="2940">
        <v>13520</v>
      </c>
      <c r="E116" s="2940"/>
      <c r="F116" s="2940"/>
      <c r="G116" s="2953">
        <v>8930</v>
      </c>
    </row>
    <row r="117" spans="1:7" s="2774" customFormat="1" ht="14.25" customHeight="1">
      <c r="A117" s="2940" t="s">
        <v>303</v>
      </c>
      <c r="B117" s="2940" t="s">
        <v>2974</v>
      </c>
      <c r="C117" s="2940">
        <v>17120</v>
      </c>
      <c r="D117" s="2940">
        <v>17040</v>
      </c>
      <c r="E117" s="2940"/>
      <c r="F117" s="2940"/>
      <c r="G117" s="2953">
        <v>11260</v>
      </c>
    </row>
    <row r="118" spans="1:7" s="2774" customFormat="1" ht="14.25" customHeight="1">
      <c r="A118" s="2940" t="s">
        <v>303</v>
      </c>
      <c r="B118" s="2940" t="s">
        <v>2979</v>
      </c>
      <c r="C118" s="2940">
        <v>14860</v>
      </c>
      <c r="D118" s="2940">
        <v>14790</v>
      </c>
      <c r="E118" s="2940"/>
      <c r="F118" s="2940"/>
      <c r="G118" s="2953">
        <v>9780</v>
      </c>
    </row>
    <row r="119" spans="1:7" s="2774" customFormat="1" ht="14.25" customHeight="1">
      <c r="A119" s="2940" t="s">
        <v>303</v>
      </c>
      <c r="B119" s="2940" t="s">
        <v>2983</v>
      </c>
      <c r="C119" s="2940">
        <v>16470</v>
      </c>
      <c r="D119" s="2940">
        <v>16400</v>
      </c>
      <c r="E119" s="2940"/>
      <c r="F119" s="2940"/>
      <c r="G119" s="2953">
        <v>10840</v>
      </c>
    </row>
    <row r="120" spans="1:7" s="2774" customFormat="1" ht="14.25" customHeight="1">
      <c r="A120" s="2940" t="s">
        <v>303</v>
      </c>
      <c r="B120" s="2940" t="s">
        <v>3069</v>
      </c>
      <c r="C120" s="2940"/>
      <c r="D120" s="2940"/>
      <c r="E120" s="2940"/>
      <c r="F120" s="2940">
        <v>4160</v>
      </c>
      <c r="G120" s="2953"/>
    </row>
    <row r="121" spans="1:7" s="2774" customFormat="1" ht="14.25" customHeight="1">
      <c r="A121" s="2940" t="s">
        <v>303</v>
      </c>
      <c r="B121" s="2940" t="s">
        <v>3070</v>
      </c>
      <c r="C121" s="2940"/>
      <c r="D121" s="2940"/>
      <c r="E121" s="2940"/>
      <c r="F121" s="2940">
        <v>3880</v>
      </c>
      <c r="G121" s="2953"/>
    </row>
    <row r="122" spans="1:7" s="2774" customFormat="1" ht="14.25" customHeight="1">
      <c r="A122" s="2940" t="s">
        <v>303</v>
      </c>
      <c r="B122" s="2940" t="s">
        <v>3071</v>
      </c>
      <c r="C122" s="2940">
        <v>13750</v>
      </c>
      <c r="D122" s="2940">
        <v>13680</v>
      </c>
      <c r="E122" s="2940">
        <v>16460</v>
      </c>
      <c r="F122" s="2940">
        <v>2880</v>
      </c>
      <c r="G122" s="2953">
        <v>9040</v>
      </c>
    </row>
    <row r="123" spans="1:7" s="2774" customFormat="1" ht="14.25" customHeight="1">
      <c r="A123" s="2940" t="s">
        <v>303</v>
      </c>
      <c r="B123" s="2940" t="s">
        <v>3002</v>
      </c>
      <c r="C123" s="2940">
        <v>13590</v>
      </c>
      <c r="D123" s="2940">
        <v>13520</v>
      </c>
      <c r="E123" s="2940">
        <v>16290</v>
      </c>
      <c r="F123" s="2940">
        <v>2790</v>
      </c>
      <c r="G123" s="2953">
        <v>8930</v>
      </c>
    </row>
    <row r="124" spans="1:7" s="2774" customFormat="1" ht="14.25" customHeight="1">
      <c r="A124" s="2940" t="s">
        <v>303</v>
      </c>
      <c r="B124" s="2940" t="s">
        <v>3007</v>
      </c>
      <c r="C124" s="2940">
        <v>13400</v>
      </c>
      <c r="D124" s="2940">
        <v>13320</v>
      </c>
      <c r="E124" s="2940">
        <v>16100</v>
      </c>
      <c r="F124" s="2940">
        <v>2320</v>
      </c>
      <c r="G124" s="2953">
        <v>8800</v>
      </c>
    </row>
    <row r="125" spans="1:7" s="2774" customFormat="1" ht="14.25" customHeight="1">
      <c r="A125" s="2940" t="s">
        <v>303</v>
      </c>
      <c r="B125" s="2940" t="s">
        <v>3012</v>
      </c>
      <c r="C125" s="2940">
        <v>12860</v>
      </c>
      <c r="D125" s="2940">
        <v>12790</v>
      </c>
      <c r="E125" s="2940">
        <v>15370</v>
      </c>
      <c r="F125" s="2940">
        <v>2280</v>
      </c>
      <c r="G125" s="2953">
        <v>8450</v>
      </c>
    </row>
    <row r="126" spans="1:7" s="2774" customFormat="1" ht="14.25" customHeight="1" thickBot="1">
      <c r="A126" s="2954" t="s">
        <v>303</v>
      </c>
      <c r="B126" s="2947" t="s">
        <v>3017</v>
      </c>
      <c r="C126" s="2947">
        <v>12960</v>
      </c>
      <c r="D126" s="2947">
        <v>12890</v>
      </c>
      <c r="E126" s="2947">
        <v>15530</v>
      </c>
      <c r="F126" s="2947">
        <v>2910</v>
      </c>
      <c r="G126" s="2955">
        <v>8520</v>
      </c>
    </row>
    <row r="127" spans="1:7" s="2774" customFormat="1" ht="14.25" customHeight="1">
      <c r="A127" s="2945" t="s">
        <v>29</v>
      </c>
      <c r="B127" s="2936" t="s">
        <v>3072</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3073</v>
      </c>
      <c r="C148" s="2940">
        <v>10370</v>
      </c>
      <c r="D148" s="2940">
        <v>10310</v>
      </c>
      <c r="E148" s="2940">
        <v>12970</v>
      </c>
      <c r="F148" s="2940"/>
      <c r="G148" s="2940">
        <v>6630</v>
      </c>
    </row>
    <row r="149" spans="1:7" s="2774" customFormat="1" ht="14.25" customHeight="1">
      <c r="A149" s="2940" t="s">
        <v>29</v>
      </c>
      <c r="B149" s="2940" t="s">
        <v>3074</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2948</v>
      </c>
      <c r="C153" s="2940">
        <v>10880</v>
      </c>
      <c r="D153" s="2940">
        <v>10820</v>
      </c>
      <c r="E153" s="2940">
        <v>13660</v>
      </c>
      <c r="F153" s="2940">
        <v>2260</v>
      </c>
      <c r="G153" s="2940">
        <v>6970</v>
      </c>
    </row>
    <row r="154" spans="1:7" s="2774" customFormat="1" ht="14.25" customHeight="1">
      <c r="A154" s="2940" t="s">
        <v>29</v>
      </c>
      <c r="B154" s="2940" t="s">
        <v>3075</v>
      </c>
      <c r="C154" s="2940">
        <v>11220</v>
      </c>
      <c r="D154" s="2940">
        <v>11160</v>
      </c>
      <c r="E154" s="2940">
        <v>14130</v>
      </c>
      <c r="F154" s="2940">
        <v>2230</v>
      </c>
      <c r="G154" s="2940">
        <v>7180</v>
      </c>
    </row>
    <row r="155" spans="1:7" s="2774" customFormat="1" ht="14.25" customHeight="1">
      <c r="A155" s="2940" t="s">
        <v>29</v>
      </c>
      <c r="B155" s="2940" t="s">
        <v>2961</v>
      </c>
      <c r="C155" s="2940">
        <v>10430</v>
      </c>
      <c r="D155" s="2940">
        <v>10380</v>
      </c>
      <c r="E155" s="2940">
        <v>13140</v>
      </c>
      <c r="F155" s="2940">
        <v>2080</v>
      </c>
      <c r="G155" s="2940">
        <v>6650</v>
      </c>
    </row>
    <row r="156" spans="1:7" s="2774" customFormat="1" ht="14.25" customHeight="1">
      <c r="A156" s="2940" t="s">
        <v>29</v>
      </c>
      <c r="B156" s="2940" t="s">
        <v>3076</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3077</v>
      </c>
      <c r="C160" s="2940">
        <v>11180</v>
      </c>
      <c r="D160" s="2940">
        <v>11140</v>
      </c>
      <c r="E160" s="2940">
        <v>14050</v>
      </c>
      <c r="F160" s="2940">
        <v>2270</v>
      </c>
      <c r="G160" s="2940">
        <v>7170</v>
      </c>
    </row>
    <row r="161" spans="1:7" s="2774" customFormat="1" ht="14.25" customHeight="1">
      <c r="A161" s="2940" t="s">
        <v>29</v>
      </c>
      <c r="B161" s="2940" t="s">
        <v>2993</v>
      </c>
      <c r="C161" s="2940">
        <v>11160</v>
      </c>
      <c r="D161" s="2940">
        <v>11120</v>
      </c>
      <c r="E161" s="2940">
        <v>14020</v>
      </c>
      <c r="F161" s="2940">
        <v>2150</v>
      </c>
      <c r="G161" s="2940">
        <v>7160</v>
      </c>
    </row>
    <row r="162" spans="1:7" s="2774" customFormat="1" ht="14.25" customHeight="1">
      <c r="A162" s="2940" t="s">
        <v>29</v>
      </c>
      <c r="B162" s="2940" t="s">
        <v>2998</v>
      </c>
      <c r="C162" s="2940">
        <v>9620</v>
      </c>
      <c r="D162" s="2940">
        <v>9570</v>
      </c>
      <c r="E162" s="2940">
        <v>12320</v>
      </c>
      <c r="F162" s="2940">
        <v>2010</v>
      </c>
      <c r="G162" s="2940">
        <v>6160</v>
      </c>
    </row>
    <row r="163" spans="1:7" s="2774" customFormat="1" ht="14.25" customHeight="1">
      <c r="A163" s="2940" t="s">
        <v>29</v>
      </c>
      <c r="B163" s="2940" t="s">
        <v>3003</v>
      </c>
      <c r="C163" s="2940">
        <v>9320</v>
      </c>
      <c r="D163" s="2940">
        <v>9270</v>
      </c>
      <c r="E163" s="2940">
        <v>11790</v>
      </c>
      <c r="F163" s="2940">
        <v>1920</v>
      </c>
      <c r="G163" s="2940">
        <v>5960</v>
      </c>
    </row>
    <row r="164" spans="1:7" s="2774" customFormat="1" ht="14.25" customHeight="1">
      <c r="A164" s="2940" t="s">
        <v>29</v>
      </c>
      <c r="B164" s="2940" t="s">
        <v>3008</v>
      </c>
      <c r="C164" s="2940"/>
      <c r="D164" s="2940"/>
      <c r="E164" s="2940"/>
      <c r="F164" s="2940">
        <v>1980</v>
      </c>
      <c r="G164" s="2940"/>
    </row>
    <row r="165" spans="1:7" s="2774" customFormat="1" ht="14.25" customHeight="1">
      <c r="A165" s="2940" t="s">
        <v>29</v>
      </c>
      <c r="B165" s="2940" t="s">
        <v>3078</v>
      </c>
      <c r="C165" s="2940">
        <v>11060</v>
      </c>
      <c r="D165" s="2940">
        <v>11030</v>
      </c>
      <c r="E165" s="2940">
        <v>13850</v>
      </c>
      <c r="F165" s="2940">
        <v>2170</v>
      </c>
      <c r="G165" s="2940">
        <v>7090</v>
      </c>
    </row>
    <row r="166" spans="1:7" s="2774" customFormat="1" ht="14.25" customHeight="1">
      <c r="A166" s="2940" t="s">
        <v>29</v>
      </c>
      <c r="B166" s="2940" t="s">
        <v>3018</v>
      </c>
      <c r="C166" s="2940">
        <v>11050</v>
      </c>
      <c r="D166" s="2940">
        <v>11010</v>
      </c>
      <c r="E166" s="2940">
        <v>13920</v>
      </c>
      <c r="F166" s="2940">
        <v>2140</v>
      </c>
      <c r="G166" s="2940">
        <v>7080</v>
      </c>
    </row>
    <row r="167" spans="1:7" s="2774" customFormat="1" ht="14.25" customHeight="1">
      <c r="A167" s="2940" t="s">
        <v>29</v>
      </c>
      <c r="B167" s="2940" t="s">
        <v>3022</v>
      </c>
      <c r="C167" s="2940">
        <v>10930</v>
      </c>
      <c r="D167" s="2940">
        <v>10890</v>
      </c>
      <c r="E167" s="2940">
        <v>13790</v>
      </c>
      <c r="F167" s="2940">
        <v>2010</v>
      </c>
      <c r="G167" s="2940">
        <v>7000</v>
      </c>
    </row>
    <row r="168" spans="1:7" s="2774" customFormat="1" ht="14.25" customHeight="1">
      <c r="A168" s="2940" t="s">
        <v>29</v>
      </c>
      <c r="B168" s="2940" t="s">
        <v>3027</v>
      </c>
      <c r="C168" s="2940">
        <v>9420</v>
      </c>
      <c r="D168" s="2940">
        <v>9380</v>
      </c>
      <c r="E168" s="2940">
        <v>11970</v>
      </c>
      <c r="F168" s="2940"/>
      <c r="G168" s="2940">
        <v>6040</v>
      </c>
    </row>
    <row r="169" spans="1:7" s="2774" customFormat="1" ht="14.25" customHeight="1">
      <c r="A169" s="2940" t="s">
        <v>29</v>
      </c>
      <c r="B169" s="2940" t="s">
        <v>3079</v>
      </c>
      <c r="C169" s="2940"/>
      <c r="D169" s="2940"/>
      <c r="E169" s="2940"/>
      <c r="F169" s="2940">
        <v>2880</v>
      </c>
      <c r="G169" s="2940"/>
    </row>
    <row r="170" spans="1:7" s="2774" customFormat="1" ht="14.25" customHeight="1">
      <c r="A170" s="2940" t="s">
        <v>29</v>
      </c>
      <c r="B170" s="2940" t="s">
        <v>3035</v>
      </c>
      <c r="C170" s="2940"/>
      <c r="D170" s="2940"/>
      <c r="E170" s="2940"/>
      <c r="F170" s="2940">
        <v>2880</v>
      </c>
      <c r="G170" s="2940"/>
    </row>
    <row r="171" spans="1:7" s="2774" customFormat="1" ht="14.25" customHeight="1">
      <c r="A171" s="2940" t="s">
        <v>29</v>
      </c>
      <c r="B171" s="2940" t="s">
        <v>3038</v>
      </c>
      <c r="C171" s="2940"/>
      <c r="D171" s="2940"/>
      <c r="E171" s="2940"/>
      <c r="F171" s="2940">
        <v>2880</v>
      </c>
      <c r="G171" s="2940"/>
    </row>
    <row r="172" spans="1:7" s="2774" customFormat="1" ht="14.25" customHeight="1">
      <c r="A172" s="2940" t="s">
        <v>29</v>
      </c>
      <c r="B172" s="2940" t="s">
        <v>3040</v>
      </c>
      <c r="C172" s="2940"/>
      <c r="D172" s="2940"/>
      <c r="E172" s="2940"/>
      <c r="F172" s="2940">
        <v>2880</v>
      </c>
      <c r="G172" s="2940"/>
    </row>
    <row r="173" spans="1:7" s="2774" customFormat="1" ht="14.25" customHeight="1">
      <c r="A173" s="2940" t="s">
        <v>29</v>
      </c>
      <c r="B173" s="2940" t="s">
        <v>3042</v>
      </c>
      <c r="C173" s="2940"/>
      <c r="D173" s="2940"/>
      <c r="E173" s="2940"/>
      <c r="F173" s="2940">
        <v>2150</v>
      </c>
      <c r="G173" s="2940"/>
    </row>
    <row r="174" spans="1:7" s="2774" customFormat="1" ht="14.25" customHeight="1">
      <c r="A174" s="2940" t="s">
        <v>29</v>
      </c>
      <c r="B174" s="2940" t="s">
        <v>3044</v>
      </c>
      <c r="C174" s="2940"/>
      <c r="D174" s="2940"/>
      <c r="E174" s="2940"/>
      <c r="F174" s="2940">
        <v>2030</v>
      </c>
      <c r="G174" s="2940"/>
    </row>
    <row r="175" spans="1:7" s="2774" customFormat="1" ht="14.25" customHeight="1">
      <c r="A175" s="2940" t="s">
        <v>29</v>
      </c>
      <c r="B175" s="2940" t="s">
        <v>3046</v>
      </c>
      <c r="C175" s="2940"/>
      <c r="D175" s="2940"/>
      <c r="E175" s="2940"/>
      <c r="F175" s="2940">
        <v>2780</v>
      </c>
      <c r="G175" s="2940"/>
    </row>
    <row r="176" spans="1:7" s="2774" customFormat="1" ht="14.25" customHeight="1">
      <c r="A176" s="2940" t="s">
        <v>29</v>
      </c>
      <c r="B176" s="2940" t="s">
        <v>3048</v>
      </c>
      <c r="C176" s="2940"/>
      <c r="D176" s="2940"/>
      <c r="E176" s="2940"/>
      <c r="F176" s="2940">
        <v>2780</v>
      </c>
      <c r="G176" s="2940"/>
    </row>
    <row r="177" spans="1:7" s="2774" customFormat="1" ht="14.25" customHeight="1">
      <c r="A177" s="2940" t="s">
        <v>29</v>
      </c>
      <c r="B177" s="2940" t="s">
        <v>3080</v>
      </c>
      <c r="C177" s="2940"/>
      <c r="D177" s="2940"/>
      <c r="E177" s="2940"/>
      <c r="F177" s="2940">
        <v>2780</v>
      </c>
      <c r="G177" s="2940"/>
    </row>
    <row r="178" spans="1:7" s="2774" customFormat="1" ht="14.25" customHeight="1">
      <c r="A178" s="2940" t="s">
        <v>29</v>
      </c>
      <c r="B178" s="2940" t="s">
        <v>3081</v>
      </c>
      <c r="C178" s="2940"/>
      <c r="D178" s="2940"/>
      <c r="E178" s="2940"/>
      <c r="F178" s="2940">
        <v>2060</v>
      </c>
      <c r="G178" s="2940"/>
    </row>
    <row r="179" spans="1:7" s="2774" customFormat="1" ht="14.25" customHeight="1">
      <c r="A179" s="2940" t="s">
        <v>29</v>
      </c>
      <c r="B179" s="2940" t="s">
        <v>3082</v>
      </c>
      <c r="C179" s="2940"/>
      <c r="D179" s="2940"/>
      <c r="E179" s="2940"/>
      <c r="F179" s="2940">
        <v>2120</v>
      </c>
      <c r="G179" s="2940"/>
    </row>
    <row r="180" spans="1:7" s="2774" customFormat="1" ht="14.25" customHeight="1">
      <c r="A180" s="2940" t="s">
        <v>29</v>
      </c>
      <c r="B180" s="2940" t="s">
        <v>3054</v>
      </c>
      <c r="C180" s="2940"/>
      <c r="D180" s="2940"/>
      <c r="E180" s="2940"/>
      <c r="F180" s="2940">
        <v>2340</v>
      </c>
      <c r="G180" s="2940"/>
    </row>
    <row r="181" spans="1:7" s="2774" customFormat="1" ht="14.25" customHeight="1">
      <c r="A181" s="2940" t="s">
        <v>29</v>
      </c>
      <c r="B181" s="2940" t="s">
        <v>3055</v>
      </c>
      <c r="C181" s="2940"/>
      <c r="D181" s="2940"/>
      <c r="E181" s="2940"/>
      <c r="F181" s="2940">
        <v>2340</v>
      </c>
      <c r="G181" s="2940"/>
    </row>
    <row r="182" spans="1:7" s="2774" customFormat="1" ht="14.25" customHeight="1">
      <c r="A182" s="2940" t="s">
        <v>29</v>
      </c>
      <c r="B182" s="2940" t="s">
        <v>3056</v>
      </c>
      <c r="C182" s="2940"/>
      <c r="D182" s="2940"/>
      <c r="E182" s="2940"/>
      <c r="F182" s="2940">
        <v>2340</v>
      </c>
      <c r="G182" s="2940"/>
    </row>
    <row r="183" spans="1:7" s="2774" customFormat="1" ht="14.25" customHeight="1">
      <c r="A183" s="2940" t="s">
        <v>29</v>
      </c>
      <c r="B183" s="2940" t="s">
        <v>3057</v>
      </c>
      <c r="C183" s="2940"/>
      <c r="D183" s="2940"/>
      <c r="E183" s="2940"/>
      <c r="F183" s="2940">
        <v>2340</v>
      </c>
      <c r="G183" s="2940"/>
    </row>
    <row r="184" spans="1:7" s="2774" customFormat="1" ht="14.25" customHeight="1">
      <c r="A184" s="2940" t="s">
        <v>29</v>
      </c>
      <c r="B184" s="2940" t="s">
        <v>3058</v>
      </c>
      <c r="C184" s="2940"/>
      <c r="D184" s="2940"/>
      <c r="E184" s="2940"/>
      <c r="F184" s="2940">
        <v>2340</v>
      </c>
      <c r="G184" s="2940"/>
    </row>
    <row r="185" spans="1:7" s="2774" customFormat="1" ht="14.25" customHeight="1">
      <c r="A185" s="2940" t="s">
        <v>29</v>
      </c>
      <c r="B185" s="2940" t="s">
        <v>3059</v>
      </c>
      <c r="C185" s="2940"/>
      <c r="D185" s="2940"/>
      <c r="E185" s="2940"/>
      <c r="F185" s="2940">
        <v>2530</v>
      </c>
      <c r="G185" s="2940"/>
    </row>
    <row r="186" spans="1:7" s="2774" customFormat="1" ht="14.25" customHeight="1">
      <c r="A186" s="2940" t="s">
        <v>29</v>
      </c>
      <c r="B186" s="2940" t="s">
        <v>3060</v>
      </c>
      <c r="C186" s="2940"/>
      <c r="D186" s="2940"/>
      <c r="E186" s="2940"/>
      <c r="F186" s="2940">
        <v>2550</v>
      </c>
      <c r="G186" s="2940"/>
    </row>
    <row r="187" spans="1:7" s="2774" customFormat="1" ht="14.25" customHeight="1">
      <c r="A187" s="2940" t="s">
        <v>29</v>
      </c>
      <c r="B187" s="2940" t="s">
        <v>3061</v>
      </c>
      <c r="C187" s="2940"/>
      <c r="D187" s="2940"/>
      <c r="E187" s="2940"/>
      <c r="F187" s="2940">
        <v>2070</v>
      </c>
      <c r="G187" s="2940"/>
    </row>
    <row r="188" spans="1:7" s="2774" customFormat="1" ht="14.25" customHeight="1">
      <c r="A188" s="2940" t="s">
        <v>29</v>
      </c>
      <c r="B188" s="2940" t="s">
        <v>3062</v>
      </c>
      <c r="C188" s="2940"/>
      <c r="D188" s="2940"/>
      <c r="E188" s="2940"/>
      <c r="F188" s="2940">
        <v>2340</v>
      </c>
      <c r="G188" s="2940"/>
    </row>
    <row r="189" spans="1:7" s="2774" customFormat="1" ht="14.25" customHeight="1" thickBot="1">
      <c r="A189" s="2948" t="s">
        <v>29</v>
      </c>
      <c r="B189" s="2951" t="s">
        <v>3063</v>
      </c>
      <c r="C189" s="2951"/>
      <c r="D189" s="2951"/>
      <c r="E189" s="2951"/>
      <c r="F189" s="2951">
        <v>2050</v>
      </c>
      <c r="G189" s="2951"/>
    </row>
    <row r="190" spans="1:7" s="2774" customFormat="1" ht="14.25" customHeight="1">
      <c r="A190" s="2945" t="s">
        <v>304</v>
      </c>
      <c r="B190" s="2936" t="s">
        <v>3083</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3084</v>
      </c>
      <c r="C199" s="2940">
        <v>8690</v>
      </c>
      <c r="D199" s="2940">
        <v>8630</v>
      </c>
      <c r="E199" s="2940">
        <v>11350</v>
      </c>
      <c r="F199" s="2940">
        <v>1600</v>
      </c>
      <c r="G199" s="2953">
        <v>5450</v>
      </c>
    </row>
    <row r="200" spans="1:7" s="2774" customFormat="1" ht="14.25" customHeight="1">
      <c r="A200" s="2940" t="s">
        <v>304</v>
      </c>
      <c r="B200" s="2940" t="s">
        <v>2895</v>
      </c>
      <c r="C200" s="2940"/>
      <c r="D200" s="2940"/>
      <c r="E200" s="2940"/>
      <c r="F200" s="2940">
        <v>1510</v>
      </c>
      <c r="G200" s="2953"/>
    </row>
    <row r="201" spans="1:7" s="2774" customFormat="1" ht="14.25" customHeight="1">
      <c r="A201" s="2940" t="s">
        <v>304</v>
      </c>
      <c r="B201" s="2940" t="s">
        <v>3085</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3086</v>
      </c>
      <c r="C203" s="2940">
        <v>8130</v>
      </c>
      <c r="D203" s="2940">
        <v>8070</v>
      </c>
      <c r="E203" s="2940">
        <v>10820</v>
      </c>
      <c r="F203" s="2940">
        <v>1690</v>
      </c>
      <c r="G203" s="2953">
        <v>5100</v>
      </c>
    </row>
    <row r="204" spans="1:7" s="2774" customFormat="1" ht="14.25" customHeight="1">
      <c r="A204" s="2940" t="s">
        <v>304</v>
      </c>
      <c r="B204" s="2940" t="s">
        <v>2906</v>
      </c>
      <c r="C204" s="2940">
        <v>8350</v>
      </c>
      <c r="D204" s="2940">
        <v>8290</v>
      </c>
      <c r="E204" s="2940">
        <v>11080</v>
      </c>
      <c r="F204" s="2940">
        <v>1450</v>
      </c>
      <c r="G204" s="2953">
        <v>5240</v>
      </c>
    </row>
    <row r="205" spans="1:7" s="2774" customFormat="1" ht="14.25" customHeight="1">
      <c r="A205" s="2940" t="s">
        <v>304</v>
      </c>
      <c r="B205" s="2940" t="s">
        <v>2908</v>
      </c>
      <c r="C205" s="2940">
        <v>7190</v>
      </c>
      <c r="D205" s="2940">
        <v>7130</v>
      </c>
      <c r="E205" s="2940">
        <v>9490</v>
      </c>
      <c r="F205" s="2940">
        <v>1470</v>
      </c>
      <c r="G205" s="2953">
        <v>4510</v>
      </c>
    </row>
    <row r="206" spans="1:7" s="2774" customFormat="1" ht="14.25" customHeight="1">
      <c r="A206" s="2940" t="s">
        <v>304</v>
      </c>
      <c r="B206" s="2940" t="s">
        <v>2911</v>
      </c>
      <c r="C206" s="2940">
        <v>7000</v>
      </c>
      <c r="D206" s="2940">
        <v>6950</v>
      </c>
      <c r="E206" s="2940">
        <v>9170</v>
      </c>
      <c r="F206" s="2940">
        <v>1400</v>
      </c>
      <c r="G206" s="2953">
        <v>4380</v>
      </c>
    </row>
    <row r="207" spans="1:7" s="2774" customFormat="1" ht="14.25" customHeight="1">
      <c r="A207" s="2940" t="s">
        <v>304</v>
      </c>
      <c r="B207" s="2940" t="s">
        <v>2913</v>
      </c>
      <c r="C207" s="2940">
        <v>6950</v>
      </c>
      <c r="D207" s="2940">
        <v>6900</v>
      </c>
      <c r="E207" s="2940">
        <v>9110</v>
      </c>
      <c r="F207" s="2940">
        <v>1790</v>
      </c>
      <c r="G207" s="2953">
        <v>4360</v>
      </c>
    </row>
    <row r="208" spans="1:7" s="2774" customFormat="1" ht="14.25" customHeight="1">
      <c r="A208" s="2940" t="s">
        <v>304</v>
      </c>
      <c r="B208" s="2940" t="s">
        <v>3087</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2923</v>
      </c>
      <c r="C210" s="2940">
        <v>8710</v>
      </c>
      <c r="D210" s="2940">
        <v>8660</v>
      </c>
      <c r="E210" s="2940">
        <v>11440</v>
      </c>
      <c r="F210" s="2940">
        <v>1740</v>
      </c>
      <c r="G210" s="2953">
        <v>5470</v>
      </c>
    </row>
    <row r="211" spans="1:7" s="2774" customFormat="1" ht="14.25" customHeight="1">
      <c r="A211" s="2940" t="s">
        <v>304</v>
      </c>
      <c r="B211" s="2940" t="s">
        <v>3088</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3089</v>
      </c>
      <c r="C214" s="2940">
        <v>8090</v>
      </c>
      <c r="D214" s="2940">
        <v>8030</v>
      </c>
      <c r="E214" s="2940">
        <v>10780</v>
      </c>
      <c r="F214" s="2940">
        <v>1570</v>
      </c>
      <c r="G214" s="2953">
        <v>5070</v>
      </c>
    </row>
    <row r="215" spans="1:7" s="2774" customFormat="1" ht="14.25" customHeight="1">
      <c r="A215" s="2940" t="s">
        <v>304</v>
      </c>
      <c r="B215" s="2940" t="s">
        <v>3090</v>
      </c>
      <c r="C215" s="2940">
        <v>7950</v>
      </c>
      <c r="D215" s="2940">
        <v>7900</v>
      </c>
      <c r="E215" s="2940">
        <v>10560</v>
      </c>
      <c r="F215" s="2940">
        <v>1630</v>
      </c>
      <c r="G215" s="2953">
        <v>4990</v>
      </c>
    </row>
    <row r="216" spans="1:7" s="2774" customFormat="1" ht="14.25" customHeight="1">
      <c r="A216" s="2940" t="s">
        <v>304</v>
      </c>
      <c r="B216" s="2940" t="s">
        <v>3091</v>
      </c>
      <c r="C216" s="2940">
        <v>8490</v>
      </c>
      <c r="D216" s="2940">
        <v>8440</v>
      </c>
      <c r="E216" s="2940">
        <v>11260</v>
      </c>
      <c r="F216" s="2940">
        <v>1690</v>
      </c>
      <c r="G216" s="2953">
        <v>5330</v>
      </c>
    </row>
    <row r="217" spans="1:7" s="2774" customFormat="1" ht="14.25" customHeight="1">
      <c r="A217" s="2940" t="s">
        <v>304</v>
      </c>
      <c r="B217" s="2940" t="s">
        <v>2956</v>
      </c>
      <c r="C217" s="2940">
        <v>8200</v>
      </c>
      <c r="D217" s="2940">
        <v>8150</v>
      </c>
      <c r="E217" s="2940">
        <v>10910</v>
      </c>
      <c r="F217" s="2940">
        <v>1670</v>
      </c>
      <c r="G217" s="2953">
        <v>5150</v>
      </c>
    </row>
    <row r="218" spans="1:7" s="2774" customFormat="1" ht="14.25" customHeight="1">
      <c r="A218" s="2940" t="s">
        <v>304</v>
      </c>
      <c r="B218" s="2940" t="s">
        <v>3092</v>
      </c>
      <c r="C218" s="2940"/>
      <c r="D218" s="2940"/>
      <c r="E218" s="2940"/>
      <c r="F218" s="2940">
        <v>2040</v>
      </c>
      <c r="G218" s="2953"/>
    </row>
    <row r="219" spans="1:7" s="2774" customFormat="1" ht="14.25" customHeight="1">
      <c r="A219" s="2940" t="s">
        <v>304</v>
      </c>
      <c r="B219" s="2940" t="s">
        <v>3093</v>
      </c>
      <c r="C219" s="2940"/>
      <c r="D219" s="2940"/>
      <c r="E219" s="2940"/>
      <c r="F219" s="2940">
        <v>2040</v>
      </c>
      <c r="G219" s="2953"/>
    </row>
    <row r="220" spans="1:7" s="2774" customFormat="1" ht="14.25" customHeight="1">
      <c r="A220" s="2940" t="s">
        <v>304</v>
      </c>
      <c r="B220" s="2940" t="s">
        <v>3094</v>
      </c>
      <c r="C220" s="2940"/>
      <c r="D220" s="2940"/>
      <c r="E220" s="2940"/>
      <c r="F220" s="2940">
        <v>2040</v>
      </c>
      <c r="G220" s="2953"/>
    </row>
    <row r="221" spans="1:7" s="2774" customFormat="1" ht="14.25" customHeight="1">
      <c r="A221" s="2940" t="s">
        <v>304</v>
      </c>
      <c r="B221" s="2940" t="s">
        <v>3095</v>
      </c>
      <c r="C221" s="2940"/>
      <c r="D221" s="2940"/>
      <c r="E221" s="2940"/>
      <c r="F221" s="2940">
        <v>2040</v>
      </c>
      <c r="G221" s="2953"/>
    </row>
    <row r="222" spans="1:7" s="2774" customFormat="1" ht="14.25" customHeight="1">
      <c r="A222" s="2940" t="s">
        <v>304</v>
      </c>
      <c r="B222" s="2940" t="s">
        <v>3096</v>
      </c>
      <c r="C222" s="2940"/>
      <c r="D222" s="2940"/>
      <c r="E222" s="2940"/>
      <c r="F222" s="2940">
        <v>2040</v>
      </c>
      <c r="G222" s="2953"/>
    </row>
    <row r="223" spans="1:7" s="2774" customFormat="1" ht="14.25" customHeight="1">
      <c r="A223" s="2940" t="s">
        <v>304</v>
      </c>
      <c r="B223" s="2940" t="s">
        <v>3097</v>
      </c>
      <c r="C223" s="2940"/>
      <c r="D223" s="2940"/>
      <c r="E223" s="2940"/>
      <c r="F223" s="2940">
        <v>1930</v>
      </c>
      <c r="G223" s="2953"/>
    </row>
    <row r="224" spans="1:7" s="2774" customFormat="1" ht="14.25" customHeight="1">
      <c r="A224" s="2940" t="s">
        <v>304</v>
      </c>
      <c r="B224" s="2940" t="s">
        <v>3098</v>
      </c>
      <c r="C224" s="2940"/>
      <c r="D224" s="2940"/>
      <c r="E224" s="2940"/>
      <c r="F224" s="2940">
        <v>1930</v>
      </c>
      <c r="G224" s="2953"/>
    </row>
    <row r="225" spans="1:7" s="2774" customFormat="1" ht="14.25" customHeight="1">
      <c r="A225" s="2940" t="s">
        <v>304</v>
      </c>
      <c r="B225" s="2940" t="s">
        <v>3099</v>
      </c>
      <c r="C225" s="2940"/>
      <c r="D225" s="2940"/>
      <c r="E225" s="2940"/>
      <c r="F225" s="2940">
        <v>1930</v>
      </c>
      <c r="G225" s="2953"/>
    </row>
    <row r="226" spans="1:7" s="2774" customFormat="1" ht="14.25" customHeight="1">
      <c r="A226" s="2940" t="s">
        <v>304</v>
      </c>
      <c r="B226" s="2940" t="s">
        <v>3100</v>
      </c>
      <c r="C226" s="2940"/>
      <c r="D226" s="2940"/>
      <c r="E226" s="2940"/>
      <c r="F226" s="2940">
        <v>1700</v>
      </c>
      <c r="G226" s="2953"/>
    </row>
    <row r="227" spans="1:7" s="2774" customFormat="1" ht="14.25" customHeight="1">
      <c r="A227" s="2940" t="s">
        <v>304</v>
      </c>
      <c r="B227" s="2940" t="s">
        <v>3101</v>
      </c>
      <c r="C227" s="2940"/>
      <c r="D227" s="2940"/>
      <c r="E227" s="2940"/>
      <c r="F227" s="2940">
        <v>1520</v>
      </c>
      <c r="G227" s="2953"/>
    </row>
    <row r="228" spans="1:7" s="2774" customFormat="1" ht="14.25" customHeight="1">
      <c r="A228" s="2940" t="s">
        <v>304</v>
      </c>
      <c r="B228" s="2940" t="s">
        <v>3102</v>
      </c>
      <c r="C228" s="2940"/>
      <c r="D228" s="2940"/>
      <c r="E228" s="2940"/>
      <c r="F228" s="2940">
        <v>1520</v>
      </c>
      <c r="G228" s="2953"/>
    </row>
    <row r="229" spans="1:7" s="2774" customFormat="1" ht="14.25" customHeight="1">
      <c r="A229" s="2940" t="s">
        <v>304</v>
      </c>
      <c r="B229" s="2940" t="s">
        <v>3019</v>
      </c>
      <c r="C229" s="2940"/>
      <c r="D229" s="2940"/>
      <c r="E229" s="2940"/>
      <c r="F229" s="2940">
        <v>1520</v>
      </c>
      <c r="G229" s="2953"/>
    </row>
    <row r="230" spans="1:7" s="2774" customFormat="1" ht="14.25" customHeight="1">
      <c r="A230" s="2940" t="s">
        <v>304</v>
      </c>
      <c r="B230" s="2940" t="s">
        <v>3103</v>
      </c>
      <c r="C230" s="2940"/>
      <c r="D230" s="2940"/>
      <c r="E230" s="2940"/>
      <c r="F230" s="2940">
        <v>1820</v>
      </c>
      <c r="G230" s="2953"/>
    </row>
    <row r="231" spans="1:7" s="2774" customFormat="1" ht="14.25" customHeight="1">
      <c r="A231" s="2940" t="s">
        <v>304</v>
      </c>
      <c r="B231" s="2940" t="s">
        <v>3104</v>
      </c>
      <c r="C231" s="2940"/>
      <c r="D231" s="2940"/>
      <c r="E231" s="2940"/>
      <c r="F231" s="2940">
        <v>1760</v>
      </c>
      <c r="G231" s="2953"/>
    </row>
    <row r="232" spans="1:7" s="2774" customFormat="1" ht="14.25" customHeight="1">
      <c r="A232" s="2940" t="s">
        <v>304</v>
      </c>
      <c r="B232" s="2940" t="s">
        <v>3105</v>
      </c>
      <c r="C232" s="2940"/>
      <c r="D232" s="2940"/>
      <c r="E232" s="2940"/>
      <c r="F232" s="2940">
        <v>1840</v>
      </c>
      <c r="G232" s="2953"/>
    </row>
    <row r="233" spans="1:7" s="2774" customFormat="1" ht="14.25" customHeight="1" thickBot="1">
      <c r="A233" s="2954" t="s">
        <v>304</v>
      </c>
      <c r="B233" s="2947" t="s">
        <v>3036</v>
      </c>
      <c r="C233" s="2947"/>
      <c r="D233" s="2947"/>
      <c r="E233" s="2947"/>
      <c r="F233" s="2947">
        <v>1770</v>
      </c>
      <c r="G233" s="2955"/>
    </row>
    <row r="234" spans="1:7" s="2774" customFormat="1" ht="14.25" customHeight="1">
      <c r="A234" s="2945" t="s">
        <v>305</v>
      </c>
      <c r="B234" s="2936" t="s">
        <v>3106</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2877</v>
      </c>
      <c r="C238" s="2940">
        <v>6920</v>
      </c>
      <c r="D238" s="2940">
        <v>6890</v>
      </c>
      <c r="E238" s="2940">
        <v>8640</v>
      </c>
      <c r="F238" s="2940">
        <v>1310</v>
      </c>
      <c r="G238" s="2940">
        <v>4230</v>
      </c>
    </row>
    <row r="239" spans="1:7" s="2774" customFormat="1" ht="14.25" customHeight="1">
      <c r="A239" s="2940" t="s">
        <v>305</v>
      </c>
      <c r="B239" s="2940" t="s">
        <v>3107</v>
      </c>
      <c r="C239" s="2940">
        <v>6780</v>
      </c>
      <c r="D239" s="2940">
        <v>6750</v>
      </c>
      <c r="E239" s="2940">
        <v>8440</v>
      </c>
      <c r="F239" s="2940">
        <v>1160</v>
      </c>
      <c r="G239" s="2940">
        <v>4140</v>
      </c>
    </row>
    <row r="240" spans="1:7" s="2774" customFormat="1" ht="14.25" customHeight="1">
      <c r="A240" s="2940" t="s">
        <v>305</v>
      </c>
      <c r="B240" s="2940" t="s">
        <v>3108</v>
      </c>
      <c r="C240" s="2940">
        <v>5420</v>
      </c>
      <c r="D240" s="2940">
        <v>5380</v>
      </c>
      <c r="E240" s="2940">
        <v>6640</v>
      </c>
      <c r="F240" s="2940">
        <v>1020</v>
      </c>
      <c r="G240" s="2940">
        <v>3300</v>
      </c>
    </row>
    <row r="241" spans="1:7" s="2774" customFormat="1" ht="14.25" customHeight="1">
      <c r="A241" s="2940" t="s">
        <v>305</v>
      </c>
      <c r="B241" s="2940" t="s">
        <v>3109</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3110</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3111</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3112</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3113</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3114</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2939</v>
      </c>
      <c r="C258" s="2940">
        <v>6190</v>
      </c>
      <c r="D258" s="2940">
        <v>6160</v>
      </c>
      <c r="E258" s="2940">
        <v>7680</v>
      </c>
      <c r="F258" s="2940">
        <v>1170</v>
      </c>
      <c r="G258" s="2940">
        <v>3780</v>
      </c>
    </row>
    <row r="259" spans="1:7" s="2774" customFormat="1" ht="14.25" customHeight="1">
      <c r="A259" s="2940" t="s">
        <v>305</v>
      </c>
      <c r="B259" s="2940" t="s">
        <v>3115</v>
      </c>
      <c r="C259" s="2940">
        <v>7610</v>
      </c>
      <c r="D259" s="2940">
        <v>7570</v>
      </c>
      <c r="E259" s="2940">
        <v>9350</v>
      </c>
      <c r="F259" s="2940">
        <v>1350</v>
      </c>
      <c r="G259" s="2940">
        <v>4650</v>
      </c>
    </row>
    <row r="260" spans="1:7" s="2774" customFormat="1" ht="14.25" customHeight="1">
      <c r="A260" s="2940" t="s">
        <v>305</v>
      </c>
      <c r="B260" s="2940" t="s">
        <v>3116</v>
      </c>
      <c r="C260" s="2940">
        <v>6920</v>
      </c>
      <c r="D260" s="2940">
        <v>6880</v>
      </c>
      <c r="E260" s="2940">
        <v>8380</v>
      </c>
      <c r="F260" s="2940">
        <v>1160</v>
      </c>
      <c r="G260" s="2940">
        <v>4220</v>
      </c>
    </row>
    <row r="261" spans="1:7" s="2774" customFormat="1" ht="14.25" customHeight="1">
      <c r="A261" s="2940" t="s">
        <v>305</v>
      </c>
      <c r="B261" s="2940" t="s">
        <v>3117</v>
      </c>
      <c r="C261" s="2940">
        <v>6850</v>
      </c>
      <c r="D261" s="2940">
        <v>6810</v>
      </c>
      <c r="E261" s="2940">
        <v>8290</v>
      </c>
      <c r="F261" s="2940">
        <v>1130</v>
      </c>
      <c r="G261" s="2940">
        <v>4180</v>
      </c>
    </row>
    <row r="262" spans="1:7" s="2774" customFormat="1" ht="14.25" customHeight="1">
      <c r="A262" s="2940" t="s">
        <v>305</v>
      </c>
      <c r="B262" s="2940" t="s">
        <v>3118</v>
      </c>
      <c r="C262" s="2940">
        <v>5860</v>
      </c>
      <c r="D262" s="2940">
        <v>5820</v>
      </c>
      <c r="E262" s="2940">
        <v>7640</v>
      </c>
      <c r="F262" s="2940">
        <v>1070</v>
      </c>
      <c r="G262" s="2940">
        <v>3570</v>
      </c>
    </row>
    <row r="263" spans="1:7" s="2774" customFormat="1" ht="14.25" customHeight="1">
      <c r="A263" s="2940" t="s">
        <v>305</v>
      </c>
      <c r="B263" s="2940" t="s">
        <v>3119</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3120</v>
      </c>
      <c r="C265" s="2940"/>
      <c r="D265" s="2940"/>
      <c r="E265" s="2940"/>
      <c r="F265" s="2940">
        <v>1500</v>
      </c>
      <c r="G265" s="2940"/>
    </row>
    <row r="266" spans="1:7" s="2774" customFormat="1" ht="14.25" customHeight="1">
      <c r="A266" s="2940" t="s">
        <v>305</v>
      </c>
      <c r="B266" s="2940" t="s">
        <v>3121</v>
      </c>
      <c r="C266" s="2940"/>
      <c r="D266" s="2940"/>
      <c r="E266" s="2940"/>
      <c r="F266" s="2940">
        <v>1500</v>
      </c>
      <c r="G266" s="2940"/>
    </row>
    <row r="267" spans="1:7" s="2774" customFormat="1" ht="14.25" customHeight="1">
      <c r="A267" s="2940" t="s">
        <v>305</v>
      </c>
      <c r="B267" s="2940" t="s">
        <v>3122</v>
      </c>
      <c r="C267" s="2940"/>
      <c r="D267" s="2940"/>
      <c r="E267" s="2940"/>
      <c r="F267" s="2940">
        <v>1500</v>
      </c>
      <c r="G267" s="2940"/>
    </row>
    <row r="268" spans="1:7" s="2774" customFormat="1" ht="14.25" customHeight="1">
      <c r="A268" s="2940" t="s">
        <v>305</v>
      </c>
      <c r="B268" s="2940" t="s">
        <v>3123</v>
      </c>
      <c r="C268" s="2940"/>
      <c r="D268" s="2940"/>
      <c r="E268" s="2940"/>
      <c r="F268" s="2940">
        <v>1290</v>
      </c>
      <c r="G268" s="2940"/>
    </row>
    <row r="269" spans="1:7" s="2774" customFormat="1" ht="14.25" customHeight="1">
      <c r="A269" s="2940" t="s">
        <v>305</v>
      </c>
      <c r="B269" s="2940" t="s">
        <v>3124</v>
      </c>
      <c r="C269" s="2940"/>
      <c r="D269" s="2940"/>
      <c r="E269" s="2940"/>
      <c r="F269" s="2940">
        <v>1150</v>
      </c>
      <c r="G269" s="2940"/>
    </row>
    <row r="270" spans="1:7" s="2774" customFormat="1" ht="14.25" customHeight="1">
      <c r="A270" s="2940" t="s">
        <v>305</v>
      </c>
      <c r="B270" s="2940" t="s">
        <v>3125</v>
      </c>
      <c r="C270" s="2940"/>
      <c r="D270" s="2940"/>
      <c r="E270" s="2940"/>
      <c r="F270" s="2940">
        <v>1380</v>
      </c>
      <c r="G270" s="2940"/>
    </row>
    <row r="271" spans="1:7" s="2774" customFormat="1" ht="14.25" customHeight="1">
      <c r="A271" s="2940" t="s">
        <v>305</v>
      </c>
      <c r="B271" s="2940" t="s">
        <v>3126</v>
      </c>
      <c r="C271" s="2940"/>
      <c r="D271" s="2940"/>
      <c r="E271" s="2940"/>
      <c r="F271" s="2940">
        <v>1460</v>
      </c>
      <c r="G271" s="2940"/>
    </row>
    <row r="272" spans="1:7" s="2774" customFormat="1" ht="14.25" customHeight="1">
      <c r="A272" s="2940" t="s">
        <v>305</v>
      </c>
      <c r="B272" s="2940" t="s">
        <v>3127</v>
      </c>
      <c r="C272" s="2940"/>
      <c r="D272" s="2940"/>
      <c r="E272" s="2940"/>
      <c r="F272" s="2940">
        <v>1460</v>
      </c>
      <c r="G272" s="2940"/>
    </row>
    <row r="273" spans="1:7" s="2774" customFormat="1" ht="14.25" customHeight="1">
      <c r="A273" s="2940" t="s">
        <v>305</v>
      </c>
      <c r="B273" s="2940" t="s">
        <v>3020</v>
      </c>
      <c r="C273" s="2940"/>
      <c r="D273" s="2940"/>
      <c r="E273" s="2940"/>
      <c r="F273" s="2940">
        <v>1490</v>
      </c>
      <c r="G273" s="2940"/>
    </row>
    <row r="274" spans="1:7" s="2774" customFormat="1" ht="14.25" customHeight="1">
      <c r="A274" s="2940" t="s">
        <v>305</v>
      </c>
      <c r="B274" s="2940" t="s">
        <v>3128</v>
      </c>
      <c r="C274" s="2940"/>
      <c r="D274" s="2940"/>
      <c r="E274" s="2940"/>
      <c r="F274" s="2940">
        <v>1490</v>
      </c>
      <c r="G274" s="2940"/>
    </row>
    <row r="275" spans="1:7" s="2774" customFormat="1" ht="14.25" customHeight="1">
      <c r="A275" s="2940" t="s">
        <v>305</v>
      </c>
      <c r="B275" s="2940" t="s">
        <v>3129</v>
      </c>
      <c r="C275" s="2940"/>
      <c r="D275" s="2940"/>
      <c r="E275" s="2940"/>
      <c r="F275" s="2940">
        <v>1220</v>
      </c>
      <c r="G275" s="2940"/>
    </row>
    <row r="276" spans="1:7" s="2774" customFormat="1" ht="14.25" customHeight="1" thickBot="1">
      <c r="A276" s="2948" t="s">
        <v>305</v>
      </c>
      <c r="B276" s="2950" t="s">
        <v>3130</v>
      </c>
      <c r="C276" s="2951"/>
      <c r="D276" s="2951"/>
      <c r="E276" s="2951"/>
      <c r="F276" s="2951">
        <v>1380</v>
      </c>
      <c r="G276" s="2951"/>
    </row>
    <row r="277" spans="1:7" s="2774" customFormat="1" ht="14.25" customHeight="1">
      <c r="A277" s="2945" t="s">
        <v>306</v>
      </c>
      <c r="B277" s="2936" t="s">
        <v>3131</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3132</v>
      </c>
      <c r="C279" s="2940">
        <v>4760</v>
      </c>
      <c r="D279" s="2940">
        <v>4720</v>
      </c>
      <c r="E279" s="2940">
        <v>5540</v>
      </c>
      <c r="F279" s="2940">
        <v>810</v>
      </c>
      <c r="G279" s="2953">
        <v>2850</v>
      </c>
    </row>
    <row r="280" spans="1:7" s="2774" customFormat="1" ht="14.25" customHeight="1">
      <c r="A280" s="2940" t="s">
        <v>306</v>
      </c>
      <c r="B280" s="2940" t="s">
        <v>3133</v>
      </c>
      <c r="C280" s="2940">
        <v>4010</v>
      </c>
      <c r="D280" s="2940">
        <v>3950</v>
      </c>
      <c r="E280" s="2940">
        <v>4710</v>
      </c>
      <c r="F280" s="2940">
        <v>800</v>
      </c>
      <c r="G280" s="2953">
        <v>2390</v>
      </c>
    </row>
    <row r="281" spans="1:7" s="2774" customFormat="1" ht="14.25" customHeight="1">
      <c r="A281" s="2940" t="s">
        <v>306</v>
      </c>
      <c r="B281" s="2940" t="s">
        <v>3134</v>
      </c>
      <c r="C281" s="2940">
        <v>4480</v>
      </c>
      <c r="D281" s="2940">
        <v>4420</v>
      </c>
      <c r="E281" s="2940">
        <v>5230</v>
      </c>
      <c r="F281" s="2940">
        <v>870</v>
      </c>
      <c r="G281" s="2953">
        <v>2660</v>
      </c>
    </row>
    <row r="282" spans="1:7" s="2774" customFormat="1" ht="14.25" customHeight="1">
      <c r="A282" s="2940" t="s">
        <v>306</v>
      </c>
      <c r="B282" s="2940" t="s">
        <v>3135</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3136</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3137</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2912</v>
      </c>
      <c r="C293" s="2940">
        <v>5320</v>
      </c>
      <c r="D293" s="2940">
        <v>5270</v>
      </c>
      <c r="E293" s="2940">
        <v>6160</v>
      </c>
      <c r="F293" s="2940">
        <v>990</v>
      </c>
      <c r="G293" s="2953">
        <v>3170</v>
      </c>
    </row>
    <row r="294" spans="1:7" s="2774" customFormat="1" ht="14.25" customHeight="1">
      <c r="A294" s="2940" t="s">
        <v>306</v>
      </c>
      <c r="B294" s="2940" t="s">
        <v>3138</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2931</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3139</v>
      </c>
      <c r="C302" s="2940">
        <v>5520</v>
      </c>
      <c r="D302" s="2940">
        <v>5470</v>
      </c>
      <c r="E302" s="2940">
        <v>6410</v>
      </c>
      <c r="F302" s="2940">
        <v>950</v>
      </c>
      <c r="G302" s="2953">
        <v>3300</v>
      </c>
    </row>
    <row r="303" spans="1:7" s="2774" customFormat="1" ht="14.25" customHeight="1">
      <c r="A303" s="2940" t="s">
        <v>306</v>
      </c>
      <c r="B303" s="2940" t="s">
        <v>2951</v>
      </c>
      <c r="C303" s="2940">
        <v>5630</v>
      </c>
      <c r="D303" s="2940">
        <v>5590</v>
      </c>
      <c r="E303" s="2940">
        <v>6550</v>
      </c>
      <c r="F303" s="2940">
        <v>1010</v>
      </c>
      <c r="G303" s="2953">
        <v>3370</v>
      </c>
    </row>
    <row r="304" spans="1:7" s="2774" customFormat="1" ht="14.25" customHeight="1">
      <c r="A304" s="2940" t="s">
        <v>306</v>
      </c>
      <c r="B304" s="2940" t="s">
        <v>2958</v>
      </c>
      <c r="C304" s="2940">
        <v>5680</v>
      </c>
      <c r="D304" s="2940">
        <v>5620</v>
      </c>
      <c r="E304" s="2940">
        <v>6620</v>
      </c>
      <c r="F304" s="2940">
        <v>1050</v>
      </c>
      <c r="G304" s="2953">
        <v>3390</v>
      </c>
    </row>
    <row r="305" spans="1:7" s="2774" customFormat="1" ht="14.25" customHeight="1">
      <c r="A305" s="2940" t="s">
        <v>306</v>
      </c>
      <c r="B305" s="2940" t="s">
        <v>2964</v>
      </c>
      <c r="C305" s="2940">
        <v>5590</v>
      </c>
      <c r="D305" s="2940">
        <v>5530</v>
      </c>
      <c r="E305" s="2940">
        <v>6460</v>
      </c>
      <c r="F305" s="2940">
        <v>900</v>
      </c>
      <c r="G305" s="2953">
        <v>3340</v>
      </c>
    </row>
    <row r="306" spans="1:7" s="2774" customFormat="1" ht="14.25" customHeight="1">
      <c r="A306" s="2940" t="s">
        <v>306</v>
      </c>
      <c r="B306" s="2940" t="s">
        <v>3140</v>
      </c>
      <c r="C306" s="2940">
        <v>5560</v>
      </c>
      <c r="D306" s="2940">
        <v>5510</v>
      </c>
      <c r="E306" s="2940">
        <v>6440</v>
      </c>
      <c r="F306" s="2940">
        <v>900</v>
      </c>
      <c r="G306" s="2953">
        <v>3320</v>
      </c>
    </row>
    <row r="307" spans="1:7" s="2774" customFormat="1" ht="14.25" customHeight="1">
      <c r="A307" s="2940" t="s">
        <v>306</v>
      </c>
      <c r="B307" s="2940" t="s">
        <v>2976</v>
      </c>
      <c r="C307" s="2940">
        <v>5650</v>
      </c>
      <c r="D307" s="2940">
        <v>5600</v>
      </c>
      <c r="E307" s="2940">
        <v>6590</v>
      </c>
      <c r="F307" s="2940">
        <v>930</v>
      </c>
      <c r="G307" s="2953">
        <v>3380</v>
      </c>
    </row>
    <row r="308" spans="1:7" s="2774" customFormat="1" ht="14.25" customHeight="1">
      <c r="A308" s="2940" t="s">
        <v>306</v>
      </c>
      <c r="B308" s="2940" t="s">
        <v>3141</v>
      </c>
      <c r="C308" s="2940">
        <v>5620</v>
      </c>
      <c r="D308" s="2940">
        <v>5580</v>
      </c>
      <c r="E308" s="2940">
        <v>6540</v>
      </c>
      <c r="F308" s="2940">
        <v>910</v>
      </c>
      <c r="G308" s="2953">
        <v>3370</v>
      </c>
    </row>
    <row r="309" spans="1:7" s="2774" customFormat="1" ht="14.25" customHeight="1">
      <c r="A309" s="2940" t="s">
        <v>306</v>
      </c>
      <c r="B309" s="2940" t="s">
        <v>3142</v>
      </c>
      <c r="C309" s="2940">
        <v>5060</v>
      </c>
      <c r="D309" s="2940">
        <v>5020</v>
      </c>
      <c r="E309" s="2940">
        <v>6370</v>
      </c>
      <c r="F309" s="2940">
        <v>800</v>
      </c>
      <c r="G309" s="2953">
        <v>3020</v>
      </c>
    </row>
    <row r="310" spans="1:7" s="2774" customFormat="1" ht="14.25" customHeight="1">
      <c r="A310" s="2940" t="s">
        <v>306</v>
      </c>
      <c r="B310" s="2940" t="s">
        <v>2991</v>
      </c>
      <c r="C310" s="2940">
        <v>5150</v>
      </c>
      <c r="D310" s="2940">
        <v>5110</v>
      </c>
      <c r="E310" s="2940">
        <v>6500</v>
      </c>
      <c r="F310" s="2940">
        <v>880</v>
      </c>
      <c r="G310" s="2953">
        <v>3080</v>
      </c>
    </row>
    <row r="311" spans="1:7" s="2774" customFormat="1" ht="14.25" customHeight="1">
      <c r="A311" s="2940" t="s">
        <v>306</v>
      </c>
      <c r="B311" s="2940" t="s">
        <v>3143</v>
      </c>
      <c r="C311" s="2940">
        <v>4750</v>
      </c>
      <c r="D311" s="2940">
        <v>4710</v>
      </c>
      <c r="E311" s="2940">
        <v>5510</v>
      </c>
      <c r="F311" s="2940">
        <v>880</v>
      </c>
      <c r="G311" s="2953">
        <v>2840</v>
      </c>
    </row>
    <row r="312" spans="1:7" s="2774" customFormat="1" ht="14.25" customHeight="1">
      <c r="A312" s="2940" t="s">
        <v>306</v>
      </c>
      <c r="B312" s="2940" t="s">
        <v>3001</v>
      </c>
      <c r="C312" s="2940">
        <v>4690</v>
      </c>
      <c r="D312" s="2940">
        <v>4640</v>
      </c>
      <c r="E312" s="2940">
        <v>5420</v>
      </c>
      <c r="F312" s="2940">
        <v>800</v>
      </c>
      <c r="G312" s="2953">
        <v>2800</v>
      </c>
    </row>
    <row r="313" spans="1:7" s="2774" customFormat="1" ht="14.25" customHeight="1">
      <c r="A313" s="2940" t="s">
        <v>306</v>
      </c>
      <c r="B313" s="2940" t="s">
        <v>3006</v>
      </c>
      <c r="C313" s="2940">
        <v>4810</v>
      </c>
      <c r="D313" s="2940">
        <v>4760</v>
      </c>
      <c r="E313" s="2940">
        <v>5550</v>
      </c>
      <c r="F313" s="2940">
        <v>920</v>
      </c>
      <c r="G313" s="2953">
        <v>2870</v>
      </c>
    </row>
    <row r="314" spans="1:7" s="2774" customFormat="1" ht="14.25" customHeight="1">
      <c r="A314" s="2940" t="s">
        <v>306</v>
      </c>
      <c r="B314" s="2940" t="s">
        <v>3144</v>
      </c>
      <c r="C314" s="2940"/>
      <c r="D314" s="2940"/>
      <c r="E314" s="2940"/>
      <c r="F314" s="2940">
        <v>1020</v>
      </c>
      <c r="G314" s="2953"/>
    </row>
    <row r="315" spans="1:7" s="2774" customFormat="1" ht="14.25" customHeight="1">
      <c r="A315" s="2940" t="s">
        <v>306</v>
      </c>
      <c r="B315" s="2940" t="s">
        <v>3145</v>
      </c>
      <c r="C315" s="2940"/>
      <c r="D315" s="2940"/>
      <c r="E315" s="2940"/>
      <c r="F315" s="2940">
        <v>1050</v>
      </c>
      <c r="G315" s="2953"/>
    </row>
    <row r="316" spans="1:7" s="2774" customFormat="1" ht="14.25" customHeight="1">
      <c r="A316" s="2940" t="s">
        <v>306</v>
      </c>
      <c r="B316" s="2940" t="s">
        <v>3021</v>
      </c>
      <c r="C316" s="2940"/>
      <c r="D316" s="2940"/>
      <c r="E316" s="2940"/>
      <c r="F316" s="2940">
        <v>900</v>
      </c>
      <c r="G316" s="2953"/>
    </row>
    <row r="317" spans="1:7" s="2774" customFormat="1" ht="14.25" customHeight="1">
      <c r="A317" s="2940" t="s">
        <v>306</v>
      </c>
      <c r="B317" s="2940" t="s">
        <v>3146</v>
      </c>
      <c r="C317" s="2940"/>
      <c r="D317" s="2940"/>
      <c r="E317" s="2940"/>
      <c r="F317" s="2940">
        <v>920</v>
      </c>
      <c r="G317" s="2953"/>
    </row>
    <row r="318" spans="1:7" s="2774" customFormat="1" ht="14.25" customHeight="1">
      <c r="A318" s="2940" t="s">
        <v>306</v>
      </c>
      <c r="B318" s="2940" t="s">
        <v>3147</v>
      </c>
      <c r="C318" s="2940"/>
      <c r="D318" s="2940"/>
      <c r="E318" s="2940"/>
      <c r="F318" s="2940">
        <v>1080</v>
      </c>
      <c r="G318" s="2953"/>
    </row>
    <row r="319" spans="1:7" s="2774" customFormat="1" ht="14.25" customHeight="1">
      <c r="A319" s="2940" t="s">
        <v>306</v>
      </c>
      <c r="B319" s="2940" t="s">
        <v>3034</v>
      </c>
      <c r="C319" s="2940"/>
      <c r="D319" s="2940"/>
      <c r="E319" s="2940"/>
      <c r="F319" s="2940">
        <v>1020</v>
      </c>
      <c r="G319" s="2953"/>
    </row>
    <row r="320" spans="1:7" s="2774" customFormat="1" ht="14.25" customHeight="1">
      <c r="A320" s="2940" t="s">
        <v>306</v>
      </c>
      <c r="B320" s="2940" t="s">
        <v>3037</v>
      </c>
      <c r="C320" s="2940"/>
      <c r="D320" s="2940"/>
      <c r="E320" s="2940"/>
      <c r="F320" s="2940">
        <v>1050</v>
      </c>
      <c r="G320" s="2953"/>
    </row>
    <row r="321" spans="1:7" s="2774" customFormat="1" ht="14.25" customHeight="1">
      <c r="A321" s="2940" t="s">
        <v>306</v>
      </c>
      <c r="B321" s="2940" t="s">
        <v>3039</v>
      </c>
      <c r="C321" s="2940"/>
      <c r="D321" s="2940"/>
      <c r="E321" s="2940"/>
      <c r="F321" s="2940">
        <v>960</v>
      </c>
      <c r="G321" s="2953"/>
    </row>
    <row r="322" spans="1:7" s="2774" customFormat="1" ht="14.25" customHeight="1">
      <c r="A322" s="2940" t="s">
        <v>306</v>
      </c>
      <c r="B322" s="2940" t="s">
        <v>3041</v>
      </c>
      <c r="C322" s="2940"/>
      <c r="D322" s="2940"/>
      <c r="E322" s="2940"/>
      <c r="F322" s="2940">
        <v>960</v>
      </c>
      <c r="G322" s="2953"/>
    </row>
    <row r="323" spans="1:7" s="2774" customFormat="1" ht="14.25" customHeight="1">
      <c r="A323" s="2940" t="s">
        <v>306</v>
      </c>
      <c r="B323" s="2940" t="s">
        <v>3043</v>
      </c>
      <c r="C323" s="2940"/>
      <c r="D323" s="2940"/>
      <c r="E323" s="2940"/>
      <c r="F323" s="2940">
        <v>880</v>
      </c>
      <c r="G323" s="2953"/>
    </row>
    <row r="324" spans="1:7" s="2774" customFormat="1" ht="14.25" customHeight="1">
      <c r="A324" s="2940" t="s">
        <v>306</v>
      </c>
      <c r="B324" s="2940" t="s">
        <v>3045</v>
      </c>
      <c r="C324" s="2940"/>
      <c r="D324" s="2940"/>
      <c r="E324" s="2940"/>
      <c r="F324" s="2940">
        <v>930</v>
      </c>
      <c r="G324" s="2953"/>
    </row>
    <row r="325" spans="1:7" s="2774" customFormat="1" ht="14.25" customHeight="1">
      <c r="A325" s="2940" t="s">
        <v>306</v>
      </c>
      <c r="B325" s="2941" t="s">
        <v>3047</v>
      </c>
      <c r="C325" s="2940"/>
      <c r="D325" s="2940"/>
      <c r="E325" s="2940"/>
      <c r="F325" s="2940">
        <v>900</v>
      </c>
      <c r="G325" s="2953"/>
    </row>
    <row r="326" spans="1:7" s="2774" customFormat="1" ht="14.25" customHeight="1" thickBot="1">
      <c r="A326" s="2954" t="s">
        <v>306</v>
      </c>
      <c r="B326" s="2947" t="s">
        <v>3049</v>
      </c>
      <c r="C326" s="2947"/>
      <c r="D326" s="2947"/>
      <c r="E326" s="2947"/>
      <c r="F326" s="2947">
        <v>790</v>
      </c>
      <c r="G326" s="2955"/>
    </row>
    <row r="327" spans="1:7" s="2774" customFormat="1" ht="14.25" customHeight="1">
      <c r="A327" s="2945" t="s">
        <v>307</v>
      </c>
      <c r="B327" s="2936" t="s">
        <v>3148</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3149</v>
      </c>
      <c r="C329" s="2940">
        <v>2730</v>
      </c>
      <c r="D329" s="2940">
        <v>2690</v>
      </c>
      <c r="E329" s="2940">
        <v>3100</v>
      </c>
      <c r="F329" s="2940">
        <v>660</v>
      </c>
      <c r="G329" s="2940">
        <v>1610</v>
      </c>
    </row>
    <row r="330" spans="1:7" s="2774" customFormat="1" ht="14.25" customHeight="1">
      <c r="A330" s="2940" t="s">
        <v>307</v>
      </c>
      <c r="B330" s="2940" t="s">
        <v>3150</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2883</v>
      </c>
      <c r="C332" s="2940">
        <v>3520</v>
      </c>
      <c r="D332" s="2940">
        <v>3480</v>
      </c>
      <c r="E332" s="2940">
        <v>3830</v>
      </c>
      <c r="F332" s="2940">
        <v>720</v>
      </c>
      <c r="G332" s="2940">
        <v>2090</v>
      </c>
    </row>
    <row r="333" spans="1:7" s="2774" customFormat="1" ht="14.25" customHeight="1">
      <c r="A333" s="2940" t="s">
        <v>307</v>
      </c>
      <c r="B333" s="2940" t="s">
        <v>3151</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2893</v>
      </c>
      <c r="C336" s="2940">
        <v>3570</v>
      </c>
      <c r="D336" s="2940">
        <v>3530</v>
      </c>
      <c r="E336" s="2940">
        <v>3880</v>
      </c>
      <c r="F336" s="2940">
        <v>770</v>
      </c>
      <c r="G336" s="2940">
        <v>2110</v>
      </c>
    </row>
    <row r="337" spans="1:10" s="2774" customFormat="1" ht="14.25" customHeight="1">
      <c r="A337" s="2940" t="s">
        <v>307</v>
      </c>
      <c r="B337" s="2940" t="s">
        <v>3152</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3153</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3154</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2918</v>
      </c>
      <c r="C345" s="2940">
        <v>3190</v>
      </c>
      <c r="D345" s="2940">
        <v>3140</v>
      </c>
      <c r="E345" s="2940">
        <v>3450</v>
      </c>
      <c r="F345" s="2940">
        <v>720</v>
      </c>
      <c r="G345" s="2940">
        <v>1880</v>
      </c>
      <c r="J345" s="2774"/>
    </row>
    <row r="346" spans="1:10">
      <c r="A346" s="2940" t="s">
        <v>307</v>
      </c>
      <c r="B346" s="2940" t="s">
        <v>3155</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2927</v>
      </c>
      <c r="C348" s="2940">
        <v>4000</v>
      </c>
      <c r="D348" s="2940">
        <v>3950</v>
      </c>
      <c r="E348" s="2940">
        <v>4430</v>
      </c>
      <c r="F348" s="2940">
        <v>760</v>
      </c>
      <c r="G348" s="2940">
        <v>2360</v>
      </c>
      <c r="J348" s="2774"/>
    </row>
    <row r="349" spans="1:10">
      <c r="A349" s="2940" t="s">
        <v>307</v>
      </c>
      <c r="B349" s="2940" t="s">
        <v>2932</v>
      </c>
      <c r="C349" s="2940">
        <v>3820</v>
      </c>
      <c r="D349" s="2940">
        <v>3780</v>
      </c>
      <c r="E349" s="2940">
        <v>4170</v>
      </c>
      <c r="F349" s="2940">
        <v>710</v>
      </c>
      <c r="G349" s="2940">
        <v>2260</v>
      </c>
      <c r="J349" s="2774"/>
    </row>
    <row r="350" spans="1:10">
      <c r="A350" s="2940" t="s">
        <v>307</v>
      </c>
      <c r="B350" s="2940" t="s">
        <v>3156</v>
      </c>
      <c r="C350" s="2940">
        <v>3760</v>
      </c>
      <c r="D350" s="2940">
        <v>3730</v>
      </c>
      <c r="E350" s="2940">
        <v>4100</v>
      </c>
      <c r="F350" s="2940">
        <v>800</v>
      </c>
      <c r="G350" s="2940">
        <v>2230</v>
      </c>
      <c r="J350" s="2774"/>
    </row>
    <row r="351" spans="1:10">
      <c r="A351" s="2940" t="s">
        <v>307</v>
      </c>
      <c r="B351" s="2940" t="s">
        <v>2940</v>
      </c>
      <c r="C351" s="2940">
        <v>3610</v>
      </c>
      <c r="D351" s="2940">
        <v>3580</v>
      </c>
      <c r="E351" s="2940">
        <v>3930</v>
      </c>
      <c r="F351" s="2940">
        <v>700</v>
      </c>
      <c r="G351" s="2940">
        <v>2140</v>
      </c>
      <c r="J351" s="2774"/>
    </row>
    <row r="352" spans="1:10">
      <c r="A352" s="2940" t="s">
        <v>307</v>
      </c>
      <c r="B352" s="2940" t="s">
        <v>2945</v>
      </c>
      <c r="C352" s="2940">
        <v>3670</v>
      </c>
      <c r="D352" s="2940">
        <v>3630</v>
      </c>
      <c r="E352" s="2940">
        <v>4000</v>
      </c>
      <c r="F352" s="2940">
        <v>750</v>
      </c>
      <c r="G352" s="2940">
        <v>2180</v>
      </c>
    </row>
    <row r="353" spans="1:7" s="2775" customFormat="1">
      <c r="A353" s="2940" t="s">
        <v>307</v>
      </c>
      <c r="B353" s="2940" t="s">
        <v>3157</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2965</v>
      </c>
      <c r="C355" s="2940">
        <v>3650</v>
      </c>
      <c r="D355" s="2940">
        <v>3610</v>
      </c>
      <c r="E355" s="2940">
        <v>4200</v>
      </c>
      <c r="F355" s="2940">
        <v>640</v>
      </c>
      <c r="G355" s="2940">
        <v>2160</v>
      </c>
    </row>
    <row r="356" spans="1:7" s="2775" customFormat="1">
      <c r="A356" s="2940" t="s">
        <v>307</v>
      </c>
      <c r="B356" s="2940" t="s">
        <v>2972</v>
      </c>
      <c r="C356" s="2940">
        <v>3260</v>
      </c>
      <c r="D356" s="2940">
        <v>3230</v>
      </c>
      <c r="E356" s="2940">
        <v>3740</v>
      </c>
      <c r="F356" s="2940">
        <v>600</v>
      </c>
      <c r="G356" s="2940">
        <v>1930</v>
      </c>
    </row>
    <row r="357" spans="1:7" s="2775" customFormat="1" ht="12" thickBot="1">
      <c r="A357" s="2948" t="s">
        <v>307</v>
      </c>
      <c r="B357" s="2951" t="s">
        <v>3158</v>
      </c>
      <c r="C357" s="2951">
        <v>3690</v>
      </c>
      <c r="D357" s="2951">
        <v>3650</v>
      </c>
      <c r="E357" s="2951">
        <v>4020</v>
      </c>
      <c r="F357" s="2951">
        <v>700</v>
      </c>
      <c r="G357" s="2951">
        <v>2190</v>
      </c>
    </row>
    <row r="358" spans="1:7" s="2775" customFormat="1">
      <c r="A358" s="2945" t="s">
        <v>3159</v>
      </c>
      <c r="B358" s="2936" t="s">
        <v>3160</v>
      </c>
      <c r="C358" s="2936">
        <v>2080</v>
      </c>
      <c r="D358" s="2936">
        <v>2040</v>
      </c>
      <c r="E358" s="2936">
        <v>2010</v>
      </c>
      <c r="F358" s="2936">
        <v>530</v>
      </c>
      <c r="G358" s="2952">
        <v>1230</v>
      </c>
    </row>
    <row r="359" spans="1:7" s="2775" customFormat="1">
      <c r="A359" s="2940" t="s">
        <v>3159</v>
      </c>
      <c r="B359" s="2940" t="s">
        <v>3161</v>
      </c>
      <c r="C359" s="2940">
        <v>1850</v>
      </c>
      <c r="D359" s="2940">
        <v>1820</v>
      </c>
      <c r="E359" s="2940">
        <v>1780</v>
      </c>
      <c r="F359" s="2940">
        <v>520</v>
      </c>
      <c r="G359" s="2953">
        <v>1100</v>
      </c>
    </row>
    <row r="360" spans="1:7" s="2775" customFormat="1">
      <c r="A360" s="2940" t="s">
        <v>3159</v>
      </c>
      <c r="B360" s="2940" t="s">
        <v>3162</v>
      </c>
      <c r="C360" s="2940">
        <v>2020</v>
      </c>
      <c r="D360" s="2940">
        <v>1990</v>
      </c>
      <c r="E360" s="2940">
        <v>1950</v>
      </c>
      <c r="F360" s="2940">
        <v>500</v>
      </c>
      <c r="G360" s="2953">
        <v>1200</v>
      </c>
    </row>
    <row r="361" spans="1:7" s="2775" customFormat="1">
      <c r="A361" s="2940" t="s">
        <v>3159</v>
      </c>
      <c r="B361" s="2940" t="s">
        <v>153</v>
      </c>
      <c r="C361" s="2940">
        <v>2260</v>
      </c>
      <c r="D361" s="2940">
        <v>2220</v>
      </c>
      <c r="E361" s="2940">
        <v>2180</v>
      </c>
      <c r="F361" s="2940">
        <v>580</v>
      </c>
      <c r="G361" s="2953">
        <v>1340</v>
      </c>
    </row>
    <row r="362" spans="1:7" s="2775" customFormat="1">
      <c r="A362" s="2940" t="s">
        <v>3159</v>
      </c>
      <c r="B362" s="2940" t="s">
        <v>3163</v>
      </c>
      <c r="C362" s="2940">
        <v>2650</v>
      </c>
      <c r="D362" s="2940">
        <v>2610</v>
      </c>
      <c r="E362" s="2940">
        <v>2570</v>
      </c>
      <c r="F362" s="2940">
        <v>630</v>
      </c>
      <c r="G362" s="2953">
        <v>1570</v>
      </c>
    </row>
    <row r="363" spans="1:7" s="2775" customFormat="1">
      <c r="A363" s="2940" t="s">
        <v>3159</v>
      </c>
      <c r="B363" s="2940" t="s">
        <v>2884</v>
      </c>
      <c r="C363" s="2940">
        <v>2390</v>
      </c>
      <c r="D363" s="2940">
        <v>2360</v>
      </c>
      <c r="E363" s="2940">
        <v>2320</v>
      </c>
      <c r="F363" s="2940">
        <v>600</v>
      </c>
      <c r="G363" s="2953">
        <v>1420</v>
      </c>
    </row>
    <row r="364" spans="1:7" s="2775" customFormat="1">
      <c r="A364" s="2940" t="s">
        <v>3159</v>
      </c>
      <c r="B364" s="2940" t="s">
        <v>3164</v>
      </c>
      <c r="C364" s="2940">
        <v>2050</v>
      </c>
      <c r="D364" s="2940">
        <v>2030</v>
      </c>
      <c r="E364" s="2940">
        <v>1990</v>
      </c>
      <c r="F364" s="2940">
        <v>550</v>
      </c>
      <c r="G364" s="2953">
        <v>1220</v>
      </c>
    </row>
    <row r="365" spans="1:7" s="2775" customFormat="1">
      <c r="A365" s="2940" t="s">
        <v>3159</v>
      </c>
      <c r="B365" s="2940" t="s">
        <v>200</v>
      </c>
      <c r="C365" s="2940">
        <v>2140</v>
      </c>
      <c r="D365" s="2940">
        <v>2100</v>
      </c>
      <c r="E365" s="2940">
        <v>2060</v>
      </c>
      <c r="F365" s="2940">
        <v>540</v>
      </c>
      <c r="G365" s="2953">
        <v>1270</v>
      </c>
    </row>
    <row r="366" spans="1:7" s="2775" customFormat="1">
      <c r="A366" s="2940" t="s">
        <v>3159</v>
      </c>
      <c r="B366" s="2940" t="s">
        <v>2891</v>
      </c>
      <c r="C366" s="2940">
        <v>2410</v>
      </c>
      <c r="D366" s="2940">
        <v>2370</v>
      </c>
      <c r="E366" s="2940">
        <v>2330</v>
      </c>
      <c r="F366" s="2940">
        <v>570</v>
      </c>
      <c r="G366" s="2953">
        <v>1440</v>
      </c>
    </row>
    <row r="367" spans="1:7" s="2775" customFormat="1">
      <c r="A367" s="2940" t="s">
        <v>3159</v>
      </c>
      <c r="B367" s="2940" t="s">
        <v>3165</v>
      </c>
      <c r="C367" s="2940">
        <v>2300</v>
      </c>
      <c r="D367" s="2940">
        <v>2260</v>
      </c>
      <c r="E367" s="2940">
        <v>2220</v>
      </c>
      <c r="F367" s="2940">
        <v>560</v>
      </c>
      <c r="G367" s="2953">
        <v>1370</v>
      </c>
    </row>
    <row r="368" spans="1:7" s="2775" customFormat="1">
      <c r="A368" s="2940" t="s">
        <v>3159</v>
      </c>
      <c r="B368" s="2940" t="s">
        <v>3166</v>
      </c>
      <c r="C368" s="2940">
        <v>2430</v>
      </c>
      <c r="D368" s="2940">
        <v>2390</v>
      </c>
      <c r="E368" s="2940">
        <v>2350</v>
      </c>
      <c r="F368" s="2940">
        <v>570</v>
      </c>
      <c r="G368" s="2953">
        <v>1450</v>
      </c>
    </row>
    <row r="369" spans="1:7" s="2775" customFormat="1">
      <c r="A369" s="2940" t="s">
        <v>3159</v>
      </c>
      <c r="B369" s="2940" t="s">
        <v>214</v>
      </c>
      <c r="C369" s="2940">
        <v>2320</v>
      </c>
      <c r="D369" s="2940">
        <v>2290</v>
      </c>
      <c r="E369" s="2940">
        <v>2250</v>
      </c>
      <c r="F369" s="2940">
        <v>550</v>
      </c>
      <c r="G369" s="2953">
        <v>1380</v>
      </c>
    </row>
    <row r="370" spans="1:7" s="2775" customFormat="1">
      <c r="A370" s="2940" t="s">
        <v>3159</v>
      </c>
      <c r="B370" s="2940" t="s">
        <v>221</v>
      </c>
      <c r="C370" s="2940">
        <v>2190</v>
      </c>
      <c r="D370" s="2940">
        <v>2170</v>
      </c>
      <c r="E370" s="2940">
        <v>2130</v>
      </c>
      <c r="F370" s="2940">
        <v>530</v>
      </c>
      <c r="G370" s="2953">
        <v>1310</v>
      </c>
    </row>
    <row r="371" spans="1:7" s="2775" customFormat="1">
      <c r="A371" s="2940" t="s">
        <v>3159</v>
      </c>
      <c r="B371" s="2940" t="s">
        <v>229</v>
      </c>
      <c r="C371" s="2940">
        <v>2460</v>
      </c>
      <c r="D371" s="2940">
        <v>2420</v>
      </c>
      <c r="E371" s="2940">
        <v>2370</v>
      </c>
      <c r="F371" s="2940">
        <v>560</v>
      </c>
      <c r="G371" s="2953">
        <v>1470</v>
      </c>
    </row>
    <row r="372" spans="1:7" s="2775" customFormat="1">
      <c r="A372" s="2940" t="s">
        <v>3159</v>
      </c>
      <c r="B372" s="2940" t="s">
        <v>3167</v>
      </c>
      <c r="C372" s="2940">
        <v>2250</v>
      </c>
      <c r="D372" s="2940">
        <v>2210</v>
      </c>
      <c r="E372" s="2940">
        <v>2180</v>
      </c>
      <c r="F372" s="2940">
        <v>550</v>
      </c>
      <c r="G372" s="2953">
        <v>1340</v>
      </c>
    </row>
    <row r="373" spans="1:7" s="2775" customFormat="1">
      <c r="A373" s="2940" t="s">
        <v>3159</v>
      </c>
      <c r="B373" s="2940" t="s">
        <v>258</v>
      </c>
      <c r="C373" s="2940">
        <v>2210</v>
      </c>
      <c r="D373" s="2940">
        <v>2190</v>
      </c>
      <c r="E373" s="2940">
        <v>2150</v>
      </c>
      <c r="F373" s="2940">
        <v>530</v>
      </c>
      <c r="G373" s="2953">
        <v>1320</v>
      </c>
    </row>
    <row r="374" spans="1:7" s="2775" customFormat="1">
      <c r="A374" s="2940" t="s">
        <v>3159</v>
      </c>
      <c r="B374" s="2940" t="s">
        <v>266</v>
      </c>
      <c r="C374" s="2940">
        <v>2320</v>
      </c>
      <c r="D374" s="2940">
        <v>2280</v>
      </c>
      <c r="E374" s="2940">
        <v>2230</v>
      </c>
      <c r="F374" s="2940">
        <v>580</v>
      </c>
      <c r="G374" s="2953">
        <v>1380</v>
      </c>
    </row>
    <row r="375" spans="1:7" s="2775" customFormat="1">
      <c r="A375" s="2940" t="s">
        <v>3159</v>
      </c>
      <c r="B375" s="2940" t="s">
        <v>3168</v>
      </c>
      <c r="C375" s="2940">
        <v>2090</v>
      </c>
      <c r="D375" s="2940">
        <v>2050</v>
      </c>
      <c r="E375" s="2940">
        <v>2020</v>
      </c>
      <c r="F375" s="2940">
        <v>520</v>
      </c>
      <c r="G375" s="2953">
        <v>1240</v>
      </c>
    </row>
    <row r="376" spans="1:7" s="2775" customFormat="1">
      <c r="A376" s="2940" t="s">
        <v>3159</v>
      </c>
      <c r="B376" s="2940" t="s">
        <v>277</v>
      </c>
      <c r="C376" s="2940">
        <v>2010</v>
      </c>
      <c r="D376" s="2940">
        <v>1980</v>
      </c>
      <c r="E376" s="2940">
        <v>1940</v>
      </c>
      <c r="F376" s="2940">
        <v>540</v>
      </c>
      <c r="G376" s="2953">
        <v>1190</v>
      </c>
    </row>
    <row r="377" spans="1:7" s="2775" customFormat="1" ht="12" thickBot="1">
      <c r="A377" s="2948" t="s">
        <v>3159</v>
      </c>
      <c r="B377" s="2951" t="s">
        <v>2921</v>
      </c>
      <c r="C377" s="2951">
        <v>1930</v>
      </c>
      <c r="D377" s="2951">
        <v>1890</v>
      </c>
      <c r="E377" s="2951">
        <v>1860</v>
      </c>
      <c r="F377" s="2951">
        <v>530</v>
      </c>
      <c r="G377" s="2956">
        <v>1150</v>
      </c>
    </row>
    <row r="378" spans="1:7" s="2775" customFormat="1">
      <c r="A378" s="2957" t="s">
        <v>3169</v>
      </c>
      <c r="B378" s="2936" t="s">
        <v>3170</v>
      </c>
      <c r="C378" s="2936">
        <v>1520</v>
      </c>
      <c r="D378" s="2936">
        <v>1490</v>
      </c>
      <c r="E378" s="2936">
        <v>1460</v>
      </c>
      <c r="F378" s="2936">
        <v>460</v>
      </c>
      <c r="G378" s="2952">
        <v>940</v>
      </c>
    </row>
    <row r="379" spans="1:7" s="2775" customFormat="1">
      <c r="A379" s="2958" t="s">
        <v>3169</v>
      </c>
      <c r="B379" s="2940" t="s">
        <v>3171</v>
      </c>
      <c r="C379" s="2940">
        <v>1500</v>
      </c>
      <c r="D379" s="2940">
        <v>1470</v>
      </c>
      <c r="E379" s="2940">
        <v>1430</v>
      </c>
      <c r="F379" s="2940">
        <v>460</v>
      </c>
      <c r="G379" s="2953">
        <v>920</v>
      </c>
    </row>
    <row r="380" spans="1:7" s="2775" customFormat="1">
      <c r="A380" s="2958" t="s">
        <v>3169</v>
      </c>
      <c r="B380" s="2940" t="s">
        <v>3172</v>
      </c>
      <c r="C380" s="2940">
        <v>1620</v>
      </c>
      <c r="D380" s="2940">
        <v>1590</v>
      </c>
      <c r="E380" s="2940">
        <v>1560</v>
      </c>
      <c r="F380" s="2940">
        <v>480</v>
      </c>
      <c r="G380" s="2953">
        <v>1000</v>
      </c>
    </row>
    <row r="381" spans="1:7" s="2775" customFormat="1">
      <c r="A381" s="2958" t="s">
        <v>3169</v>
      </c>
      <c r="B381" s="2940" t="s">
        <v>3173</v>
      </c>
      <c r="C381" s="2940">
        <v>1460</v>
      </c>
      <c r="D381" s="2940">
        <v>1430</v>
      </c>
      <c r="E381" s="2940">
        <v>1390</v>
      </c>
      <c r="F381" s="2940">
        <v>450</v>
      </c>
      <c r="G381" s="2953">
        <v>900</v>
      </c>
    </row>
    <row r="382" spans="1:7" s="2775" customFormat="1">
      <c r="A382" s="2958" t="s">
        <v>3169</v>
      </c>
      <c r="B382" s="2940" t="s">
        <v>3174</v>
      </c>
      <c r="C382" s="2940">
        <v>1310</v>
      </c>
      <c r="D382" s="2940">
        <v>1280</v>
      </c>
      <c r="E382" s="2940">
        <v>1250</v>
      </c>
      <c r="F382" s="2940">
        <v>440</v>
      </c>
      <c r="G382" s="2953">
        <v>800</v>
      </c>
    </row>
    <row r="383" spans="1:7" s="2775" customFormat="1">
      <c r="A383" s="2958" t="s">
        <v>3169</v>
      </c>
      <c r="B383" s="2940" t="s">
        <v>3175</v>
      </c>
      <c r="C383" s="2940">
        <v>1260</v>
      </c>
      <c r="D383" s="2940">
        <v>1230</v>
      </c>
      <c r="E383" s="2940">
        <v>1200</v>
      </c>
      <c r="F383" s="2940">
        <v>420</v>
      </c>
      <c r="G383" s="2953">
        <v>770</v>
      </c>
    </row>
    <row r="384" spans="1:7" s="2775" customFormat="1" ht="12" thickBot="1">
      <c r="A384" s="2959" t="s">
        <v>3169</v>
      </c>
      <c r="B384" s="2947" t="s">
        <v>3176</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45940</v>
      </c>
      <c r="D1" s="1213" t="s">
        <v>603</v>
      </c>
      <c r="E1" s="1208">
        <f>'数据-取费表'!B22</f>
        <v>2</v>
      </c>
      <c r="F1" s="1213" t="s">
        <v>604</v>
      </c>
      <c r="G1" s="1209">
        <f ca="1">INDIRECT("d"&amp;$K$1)/100</f>
        <v>0.03</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8">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9"/>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2305</v>
      </c>
      <c r="C27" s="1203">
        <v>43697</v>
      </c>
      <c r="D27" s="2567">
        <v>4.25</v>
      </c>
      <c r="E27" s="2567">
        <v>4.25</v>
      </c>
      <c r="F27" s="2567">
        <v>4.25</v>
      </c>
      <c r="G27" s="2567">
        <v>4.25</v>
      </c>
      <c r="H27" s="2567">
        <v>4.8499999999999996</v>
      </c>
      <c r="I27" s="2567"/>
      <c r="J27" s="2567"/>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0"/>
      <c r="C28" s="2571">
        <v>42301</v>
      </c>
      <c r="D28" s="2572">
        <v>4.3499999999999996</v>
      </c>
      <c r="E28" s="2572">
        <v>4.3499999999999996</v>
      </c>
      <c r="F28" s="2572">
        <v>4.75</v>
      </c>
      <c r="G28" s="2572">
        <v>4.75</v>
      </c>
      <c r="H28" s="2572">
        <v>4.9000000000000004</v>
      </c>
      <c r="I28" s="2572"/>
      <c r="J28" s="2572"/>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2A99-D1FB-4D09-B25F-89C6631BC7E3}">
  <dimension ref="A1:AK107"/>
  <sheetViews>
    <sheetView tabSelected="1" topLeftCell="C64" workbookViewId="0">
      <selection activeCell="S97" sqref="S97"/>
    </sheetView>
  </sheetViews>
  <sheetFormatPr defaultRowHeight="13.5"/>
  <cols>
    <col min="4" max="4" width="10.5" bestFit="1" customWidth="1"/>
    <col min="28" max="28" width="10.5" bestFit="1" customWidth="1"/>
    <col min="29" max="29" width="9.5" bestFit="1" customWidth="1"/>
  </cols>
  <sheetData>
    <row r="1" spans="14:18">
      <c r="N1" s="1401" t="s">
        <v>3462</v>
      </c>
      <c r="O1" s="1401" t="s">
        <v>3450</v>
      </c>
    </row>
    <row r="2" spans="14:18">
      <c r="N2">
        <v>1700</v>
      </c>
      <c r="O2">
        <v>129</v>
      </c>
      <c r="P2">
        <f>ROUND(N2*12/O2/365,2)</f>
        <v>0.43</v>
      </c>
    </row>
    <row r="3" spans="14:18">
      <c r="N3">
        <v>1700</v>
      </c>
      <c r="O3">
        <v>109</v>
      </c>
      <c r="P3">
        <f t="shared" ref="P3:P7" si="0">ROUND(N3*12/O3/365,2)</f>
        <v>0.51</v>
      </c>
    </row>
    <row r="4" spans="14:18">
      <c r="N4">
        <v>1500</v>
      </c>
      <c r="O4">
        <v>157</v>
      </c>
      <c r="P4">
        <f t="shared" si="0"/>
        <v>0.31</v>
      </c>
    </row>
    <row r="5" spans="14:18">
      <c r="N5">
        <v>1700</v>
      </c>
      <c r="O5">
        <v>109</v>
      </c>
      <c r="P5">
        <f t="shared" si="0"/>
        <v>0.51</v>
      </c>
    </row>
    <row r="6" spans="14:18">
      <c r="N6">
        <v>1500</v>
      </c>
      <c r="O6">
        <v>138</v>
      </c>
      <c r="P6">
        <f t="shared" si="0"/>
        <v>0.36</v>
      </c>
    </row>
    <row r="7" spans="14:18">
      <c r="N7">
        <v>1400</v>
      </c>
      <c r="O7">
        <v>133</v>
      </c>
      <c r="P7">
        <f t="shared" si="0"/>
        <v>0.35</v>
      </c>
    </row>
    <row r="8" spans="14:18">
      <c r="P8">
        <f>ROUND(AVERAGE(P2:P7),2)</f>
        <v>0.41</v>
      </c>
      <c r="Q8">
        <f>'数据-基础表'!I13</f>
        <v>154.79</v>
      </c>
      <c r="R8">
        <f>ROUND(P8*Q8*365/12,0)</f>
        <v>1930</v>
      </c>
    </row>
    <row r="9" spans="14:18">
      <c r="R9">
        <f>0.9*R8</f>
        <v>1737</v>
      </c>
    </row>
    <row r="17" spans="14:37">
      <c r="N17" s="1401" t="s">
        <v>3527</v>
      </c>
      <c r="O17">
        <v>99</v>
      </c>
      <c r="P17">
        <v>95</v>
      </c>
      <c r="Q17">
        <v>90</v>
      </c>
      <c r="R17">
        <v>80</v>
      </c>
    </row>
    <row r="18" spans="14:37">
      <c r="N18">
        <f>0.17*12</f>
        <v>2.04</v>
      </c>
      <c r="O18" s="3185">
        <f>$N$18/O17</f>
        <v>2.0606060606060607E-2</v>
      </c>
      <c r="P18" s="3185">
        <f t="shared" ref="P18:R18" si="1">$N$18/P17</f>
        <v>2.1473684210526315E-2</v>
      </c>
      <c r="Q18" s="3185">
        <f t="shared" si="1"/>
        <v>2.2666666666666668E-2</v>
      </c>
      <c r="R18" s="3185">
        <f t="shared" si="1"/>
        <v>2.5500000000000002E-2</v>
      </c>
    </row>
    <row r="19" spans="14:37">
      <c r="N19">
        <f>0.16*12</f>
        <v>1.92</v>
      </c>
      <c r="O19" s="3185">
        <f>$N$19/O17</f>
        <v>1.9393939393939394E-2</v>
      </c>
      <c r="P19" s="3185">
        <f t="shared" ref="P19:Q19" si="2">$N$19/P17</f>
        <v>2.0210526315789474E-2</v>
      </c>
      <c r="Q19" s="3185">
        <f t="shared" si="2"/>
        <v>2.1333333333333333E-2</v>
      </c>
      <c r="R19" s="3185">
        <f t="shared" ref="R19" si="3">$N$19/R17</f>
        <v>2.4E-2</v>
      </c>
    </row>
    <row r="21" spans="14:37">
      <c r="AB21" s="3180">
        <v>45931</v>
      </c>
      <c r="AC21" s="3180">
        <v>45901</v>
      </c>
      <c r="AD21" s="3180">
        <v>45870</v>
      </c>
      <c r="AE21" s="3180">
        <v>45839</v>
      </c>
      <c r="AF21" s="3180">
        <v>45809</v>
      </c>
      <c r="AG21" s="3180">
        <v>45778</v>
      </c>
      <c r="AH21" s="3180">
        <v>45748</v>
      </c>
      <c r="AI21" s="3180">
        <v>45717</v>
      </c>
      <c r="AJ21" s="3180">
        <v>45689</v>
      </c>
      <c r="AK21" s="3180">
        <v>45658</v>
      </c>
    </row>
    <row r="22" spans="14:37">
      <c r="AB22">
        <v>8702</v>
      </c>
      <c r="AC22">
        <v>8754</v>
      </c>
      <c r="AD22">
        <v>8774</v>
      </c>
      <c r="AE22">
        <v>8903</v>
      </c>
      <c r="AF22">
        <v>8984</v>
      </c>
      <c r="AG22">
        <v>9112</v>
      </c>
      <c r="AH22">
        <v>9178</v>
      </c>
      <c r="AI22">
        <v>9276</v>
      </c>
      <c r="AJ22">
        <v>9377</v>
      </c>
    </row>
    <row r="23" spans="14:37">
      <c r="AB23">
        <v>100</v>
      </c>
      <c r="AC23">
        <f>ROUND(AC22*100/$AB$22,2)</f>
        <v>100.6</v>
      </c>
      <c r="AD23">
        <f t="shared" ref="AD23:AJ23" si="4">ROUND(AD22*100/$AB$22,2)</f>
        <v>100.83</v>
      </c>
      <c r="AE23">
        <f t="shared" si="4"/>
        <v>102.31</v>
      </c>
      <c r="AF23">
        <f t="shared" si="4"/>
        <v>103.24</v>
      </c>
      <c r="AG23">
        <f t="shared" si="4"/>
        <v>104.71</v>
      </c>
      <c r="AH23">
        <f t="shared" si="4"/>
        <v>105.47</v>
      </c>
      <c r="AI23">
        <f t="shared" si="4"/>
        <v>106.6</v>
      </c>
      <c r="AJ23">
        <f t="shared" si="4"/>
        <v>107.76</v>
      </c>
    </row>
    <row r="24" spans="14:37">
      <c r="AB24">
        <v>0</v>
      </c>
      <c r="AC24">
        <f>AC23-AB23</f>
        <v>0.59999999999999432</v>
      </c>
      <c r="AD24">
        <f t="shared" ref="AD24:AJ24" si="5">AD23-AC23</f>
        <v>0.23000000000000398</v>
      </c>
      <c r="AE24">
        <f t="shared" si="5"/>
        <v>1.480000000000004</v>
      </c>
      <c r="AF24">
        <f t="shared" si="5"/>
        <v>0.92999999999999261</v>
      </c>
      <c r="AG24">
        <f t="shared" si="5"/>
        <v>1.4699999999999989</v>
      </c>
      <c r="AH24">
        <f t="shared" si="5"/>
        <v>0.76000000000000512</v>
      </c>
      <c r="AI24">
        <f t="shared" si="5"/>
        <v>1.1299999999999955</v>
      </c>
      <c r="AJ24">
        <f t="shared" si="5"/>
        <v>1.1600000000000108</v>
      </c>
    </row>
    <row r="25" spans="14:37">
      <c r="AB25">
        <f>AVERAGE(AB24:AJ24)</f>
        <v>0.86222222222222278</v>
      </c>
    </row>
    <row r="26" spans="14:37">
      <c r="AB26">
        <f>(AJ23-AB23)/8</f>
        <v>0.97000000000000064</v>
      </c>
    </row>
    <row r="56" spans="1:7">
      <c r="A56" s="1401" t="s">
        <v>3489</v>
      </c>
      <c r="B56" s="1401" t="s">
        <v>3458</v>
      </c>
      <c r="C56" s="1401" t="s">
        <v>3491</v>
      </c>
      <c r="D56" s="1401" t="s">
        <v>3492</v>
      </c>
      <c r="E56" s="1401" t="s">
        <v>3433</v>
      </c>
      <c r="F56" s="1401" t="s">
        <v>3511</v>
      </c>
      <c r="G56" s="1401" t="s">
        <v>3514</v>
      </c>
    </row>
    <row r="57" spans="1:7">
      <c r="A57" s="1401" t="s">
        <v>3490</v>
      </c>
      <c r="B57">
        <v>131</v>
      </c>
      <c r="C57">
        <f>ROUND(990000/B57,0)</f>
        <v>7557</v>
      </c>
      <c r="D57" s="3180">
        <v>45778</v>
      </c>
      <c r="E57" s="1401" t="s">
        <v>3493</v>
      </c>
      <c r="F57" s="1401" t="s">
        <v>3512</v>
      </c>
      <c r="G57" s="1401" t="s">
        <v>3515</v>
      </c>
    </row>
    <row r="58" spans="1:7">
      <c r="A58" s="1401" t="s">
        <v>3494</v>
      </c>
      <c r="B58">
        <v>110</v>
      </c>
      <c r="C58">
        <f>ROUND(840000/B58,0)</f>
        <v>7636</v>
      </c>
      <c r="D58" s="3180">
        <v>45839</v>
      </c>
      <c r="E58" s="1401" t="s">
        <v>3493</v>
      </c>
      <c r="F58" s="1401" t="s">
        <v>3512</v>
      </c>
      <c r="G58" s="1401" t="s">
        <v>3515</v>
      </c>
    </row>
    <row r="59" spans="1:7">
      <c r="A59" s="1401" t="s">
        <v>3513</v>
      </c>
      <c r="B59">
        <v>158.76</v>
      </c>
      <c r="C59">
        <f>ROUND(1250000/B59,0)</f>
        <v>7874</v>
      </c>
      <c r="D59" s="3180">
        <v>45931</v>
      </c>
      <c r="E59" s="1401" t="s">
        <v>3518</v>
      </c>
      <c r="F59" s="1401" t="s">
        <v>3512</v>
      </c>
      <c r="G59" s="1401" t="s">
        <v>3516</v>
      </c>
    </row>
    <row r="97" spans="2:19">
      <c r="J97">
        <f>94/127</f>
        <v>0.74015748031496065</v>
      </c>
      <c r="P97">
        <f>125/158.76</f>
        <v>0.78735197782816835</v>
      </c>
      <c r="S97" t="s">
        <v>3528</v>
      </c>
    </row>
    <row r="100" spans="2:19">
      <c r="B100" s="1401" t="s">
        <v>3519</v>
      </c>
    </row>
    <row r="104" spans="2:19">
      <c r="O104" s="1401" t="s">
        <v>3523</v>
      </c>
      <c r="P104" s="1401" t="s">
        <v>3524</v>
      </c>
    </row>
    <row r="105" spans="2:19">
      <c r="N105" s="1444" t="s">
        <v>3520</v>
      </c>
      <c r="O105" s="3163">
        <f>ROUND(1911608900/165676,0)</f>
        <v>11538</v>
      </c>
      <c r="P105" s="3163">
        <f>20.91*12</f>
        <v>250.92000000000002</v>
      </c>
      <c r="Q105" s="3165">
        <f>P105/O105</f>
        <v>2.1747269890795635E-2</v>
      </c>
    </row>
    <row r="106" spans="2:19">
      <c r="N106" s="1444" t="s">
        <v>3521</v>
      </c>
      <c r="O106" s="3163">
        <f>ROUND(1591973200/141889,0)</f>
        <v>11220</v>
      </c>
      <c r="P106" s="3163">
        <f>20.84*12</f>
        <v>250.07999999999998</v>
      </c>
      <c r="Q106" s="3165">
        <f t="shared" ref="Q106:Q107" si="6">P106/O106</f>
        <v>2.2288770053475935E-2</v>
      </c>
    </row>
    <row r="107" spans="2:19">
      <c r="N107" s="1444" t="s">
        <v>3522</v>
      </c>
      <c r="O107" s="3163">
        <f>ROUND(1556635500/133724,0)</f>
        <v>11641</v>
      </c>
      <c r="P107" s="3163">
        <f>20.81*12</f>
        <v>249.71999999999997</v>
      </c>
      <c r="Q107" s="3165">
        <f t="shared" si="6"/>
        <v>2.1451765312258394E-2</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20" t="s">
        <v>956</v>
      </c>
      <c r="B15" s="3215" t="s">
        <v>109</v>
      </c>
      <c r="C15" s="3216"/>
    </row>
    <row r="16" spans="1:7" ht="13.5">
      <c r="A16" s="3221"/>
      <c r="B16" s="3215" t="s">
        <v>42</v>
      </c>
      <c r="C16" s="3216"/>
    </row>
    <row r="17" spans="1:3" ht="13.5">
      <c r="A17" s="3221"/>
      <c r="B17" s="3218" t="s">
        <v>957</v>
      </c>
      <c r="C17" s="1425" t="s">
        <v>956</v>
      </c>
    </row>
    <row r="18" spans="1:3" ht="13.5">
      <c r="A18" s="3221"/>
      <c r="B18" s="3218"/>
      <c r="C18" s="1425" t="s">
        <v>958</v>
      </c>
    </row>
    <row r="19" spans="1:3" ht="13.5">
      <c r="A19" s="3221"/>
      <c r="B19" s="3218"/>
      <c r="C19" s="1425" t="s">
        <v>959</v>
      </c>
    </row>
    <row r="20" spans="1:3" ht="13.5">
      <c r="A20" s="3222"/>
      <c r="B20" s="3217" t="s">
        <v>960</v>
      </c>
      <c r="C20" s="3216"/>
    </row>
    <row r="21" spans="1:3" ht="13.5">
      <c r="A21" s="1426" t="s">
        <v>961</v>
      </c>
      <c r="B21" s="1427"/>
      <c r="C21" s="1428"/>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5" t="s">
        <v>967</v>
      </c>
    </row>
    <row r="26" spans="1:3" ht="13.5">
      <c r="A26" s="3219"/>
      <c r="B26" s="3218"/>
      <c r="C26" s="1425" t="s">
        <v>968</v>
      </c>
    </row>
    <row r="27" spans="1:3" ht="13.5">
      <c r="A27" s="3219"/>
      <c r="B27" s="3218"/>
      <c r="C27" s="1425" t="s">
        <v>969</v>
      </c>
    </row>
    <row r="28" spans="1:3" ht="13.5">
      <c r="A28" s="3219"/>
      <c r="B28" s="3218"/>
      <c r="C28" s="1425" t="s">
        <v>970</v>
      </c>
    </row>
    <row r="29" spans="1:3" ht="13.5">
      <c r="A29" s="3219"/>
      <c r="B29" s="3218"/>
      <c r="C29" s="1425" t="s">
        <v>971</v>
      </c>
    </row>
    <row r="30" spans="1:3" ht="13.5">
      <c r="A30" s="3219"/>
      <c r="B30" s="3218"/>
      <c r="C30" s="1425" t="s">
        <v>972</v>
      </c>
    </row>
    <row r="31" spans="1:3" ht="13.5">
      <c r="A31" s="3219"/>
      <c r="B31" s="3218"/>
      <c r="C31" s="1425" t="s">
        <v>973</v>
      </c>
    </row>
    <row r="32" spans="1:3" ht="13.5">
      <c r="A32" s="3219"/>
      <c r="B32" s="3218"/>
      <c r="C32" s="1425" t="s">
        <v>974</v>
      </c>
    </row>
    <row r="33" spans="1:3" ht="13.5">
      <c r="A33" s="3219"/>
      <c r="B33" s="3218"/>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45964</v>
      </c>
      <c r="C2" s="2152" t="s">
        <v>2140</v>
      </c>
      <c r="D2" s="2152"/>
      <c r="E2" s="2152"/>
      <c r="F2" s="2148"/>
      <c r="G2" s="2148"/>
      <c r="H2" s="2148"/>
    </row>
    <row r="3" spans="1:8" ht="24" customHeight="1">
      <c r="A3" s="2153" t="s">
        <v>2141</v>
      </c>
      <c r="B3" s="1215" t="s">
        <v>2142</v>
      </c>
      <c r="C3" s="1215" t="s">
        <v>2143</v>
      </c>
      <c r="D3" s="2154" t="s">
        <v>2144</v>
      </c>
      <c r="E3" s="2155" t="s">
        <v>2145</v>
      </c>
      <c r="F3" s="1215" t="s">
        <v>2146</v>
      </c>
      <c r="G3" s="1215" t="s">
        <v>2143</v>
      </c>
      <c r="H3" s="2154" t="s">
        <v>2147</v>
      </c>
    </row>
    <row r="4" spans="1:8" ht="24" customHeight="1">
      <c r="A4" s="1215" t="s">
        <v>2148</v>
      </c>
      <c r="B4" s="1215" t="str">
        <f ca="1">IF(C4&lt;B2,"已过期",1119970066)</f>
        <v>已过期</v>
      </c>
      <c r="C4" s="2156">
        <v>45937</v>
      </c>
      <c r="D4" s="2157" t="str">
        <f ca="1">A4&amp;"（注册号："&amp;B4&amp;"）"</f>
        <v>梁津（注册号：已过期）</v>
      </c>
      <c r="E4" s="2158" t="s">
        <v>2148</v>
      </c>
      <c r="F4" s="1215">
        <f ca="1">IF(G4&lt;B2,"已过期",96010014)</f>
        <v>96010014</v>
      </c>
      <c r="G4" s="2159">
        <v>47118</v>
      </c>
      <c r="H4" s="2160" t="str">
        <f ca="1">E4&amp;"（注册号："&amp;F4&amp;"）"</f>
        <v>梁津（注册号：96010014）</v>
      </c>
    </row>
    <row r="5" spans="1:8" ht="24" customHeight="1">
      <c r="A5" s="1215" t="s">
        <v>2149</v>
      </c>
      <c r="B5" s="1215" t="str">
        <f ca="1">IF(C5&lt;B2,"已过期",1119970111)</f>
        <v>已过期</v>
      </c>
      <c r="C5" s="2156">
        <v>45937</v>
      </c>
      <c r="D5" s="2157" t="str">
        <f t="shared" ref="D5:D15" ca="1" si="0">A5&amp;"（注册号："&amp;B5&amp;"）"</f>
        <v>叶凌（注册号：已过期）</v>
      </c>
      <c r="E5" s="2158" t="s">
        <v>2149</v>
      </c>
      <c r="F5" s="1215">
        <f ca="1">IF(G5&lt;B2,"已过期",94010078)</f>
        <v>94010078</v>
      </c>
      <c r="G5" s="2159">
        <v>46387</v>
      </c>
      <c r="H5" s="2160" t="str">
        <f t="shared" ref="H5:H16" ca="1" si="1">E5&amp;"（注册号："&amp;F5&amp;"）"</f>
        <v>叶凌（注册号：94010078）</v>
      </c>
    </row>
    <row r="6" spans="1:8" ht="24" customHeight="1">
      <c r="A6" s="1215" t="s">
        <v>2150</v>
      </c>
      <c r="B6" s="1215" t="str">
        <f ca="1">IF(C6&lt;B2,"已过期",1120050019)</f>
        <v>已过期</v>
      </c>
      <c r="C6" s="2156">
        <v>45410</v>
      </c>
      <c r="D6" s="2157" t="str">
        <f t="shared" ca="1" si="0"/>
        <v>王鹏（注册号：已过期）</v>
      </c>
      <c r="E6" s="2158" t="s">
        <v>2150</v>
      </c>
      <c r="F6" s="1215">
        <f ca="1">IF(G6&lt;B2,"已过期",2002110030)</f>
        <v>2002110030</v>
      </c>
      <c r="G6" s="2159">
        <v>46387</v>
      </c>
      <c r="H6" s="2160" t="str">
        <f t="shared" ca="1" si="1"/>
        <v>王鹏（注册号：2002110030）</v>
      </c>
    </row>
    <row r="7" spans="1:8" ht="24" customHeight="1">
      <c r="A7" s="1215" t="s">
        <v>2151</v>
      </c>
      <c r="B7" s="1215" t="str">
        <f ca="1">IF(C7&lt;B2,"已过期",1120000080)</f>
        <v>已过期</v>
      </c>
      <c r="C7" s="2156">
        <v>45937</v>
      </c>
      <c r="D7" s="2157" t="str">
        <f t="shared" ca="1" si="0"/>
        <v>欧红伟（注册号：已过期）</v>
      </c>
      <c r="E7" s="2158" t="s">
        <v>2151</v>
      </c>
      <c r="F7" s="1215">
        <f ca="1">IF(G7&lt;B2,"已过期",2000110082)</f>
        <v>2000110082</v>
      </c>
      <c r="G7" s="2159">
        <v>46387</v>
      </c>
      <c r="H7" s="2160" t="str">
        <f t="shared" ca="1" si="1"/>
        <v>欧红伟（注册号：2000110082）</v>
      </c>
    </row>
    <row r="8" spans="1:8" ht="24" customHeight="1">
      <c r="A8" s="1215" t="s">
        <v>2152</v>
      </c>
      <c r="B8" s="1215" t="str">
        <f ca="1">IF(C8&lt;B2,"已过期",1419970001)</f>
        <v>已过期</v>
      </c>
      <c r="C8" s="2156">
        <v>45937</v>
      </c>
      <c r="D8" s="2157" t="str">
        <f t="shared" ca="1" si="0"/>
        <v>吴薇（注册号：已过期）</v>
      </c>
      <c r="E8" s="2158" t="s">
        <v>2152</v>
      </c>
      <c r="F8" s="1215">
        <f ca="1">IF(G8&lt;B2,"已过期",2002110125)</f>
        <v>2002110125</v>
      </c>
      <c r="G8" s="2159">
        <v>47118</v>
      </c>
      <c r="H8" s="2160" t="str">
        <f t="shared" ca="1" si="1"/>
        <v>吴薇（注册号：2002110125）</v>
      </c>
    </row>
    <row r="9" spans="1:8" ht="24" customHeight="1">
      <c r="A9" s="1215" t="s">
        <v>2153</v>
      </c>
      <c r="B9" s="1215" t="str">
        <f ca="1">IF(C9&lt;B2,"已过期",1120060040)</f>
        <v>已过期</v>
      </c>
      <c r="C9" s="2161">
        <v>45592</v>
      </c>
      <c r="D9" s="2157" t="str">
        <f t="shared" ca="1" si="0"/>
        <v>陈颖（注册号：已过期）</v>
      </c>
      <c r="E9" s="2158" t="s">
        <v>2153</v>
      </c>
      <c r="F9" s="1215">
        <f ca="1">IF(G9&lt;B2,"已过期",2004110096)</f>
        <v>2004110096</v>
      </c>
      <c r="G9" s="2159">
        <v>47118</v>
      </c>
      <c r="H9" s="2160" t="str">
        <f t="shared" ca="1" si="1"/>
        <v>陈颖（注册号：2004110096）</v>
      </c>
    </row>
    <row r="10" spans="1:8" ht="24" customHeight="1">
      <c r="A10" s="1215" t="s">
        <v>2154</v>
      </c>
      <c r="B10" s="1215" t="str">
        <f ca="1">IF(C10&lt;B2,"已过期",1120100036)</f>
        <v>已过期</v>
      </c>
      <c r="C10" s="2161">
        <v>45752</v>
      </c>
      <c r="D10" s="2157" t="str">
        <f t="shared" ca="1" si="0"/>
        <v>崔锴（注册号：已过期）</v>
      </c>
      <c r="E10" s="2158" t="s">
        <v>2154</v>
      </c>
      <c r="F10" s="1215">
        <f ca="1">IF(G10&lt;B2,"已过期",2010110070)</f>
        <v>2010110070</v>
      </c>
      <c r="G10" s="2159">
        <v>47907</v>
      </c>
      <c r="H10" s="2160" t="str">
        <f t="shared" ca="1" si="1"/>
        <v>崔锴（注册号：2010110070）</v>
      </c>
    </row>
    <row r="11" spans="1:8" ht="24" customHeight="1">
      <c r="A11" s="1215" t="s">
        <v>2155</v>
      </c>
      <c r="B11" s="1215" t="str">
        <f ca="1">IF(C11&lt;B2,"已过期",1120070131)</f>
        <v>已过期</v>
      </c>
      <c r="C11" s="2156">
        <v>45937</v>
      </c>
      <c r="D11" s="2157" t="str">
        <f t="shared" ca="1" si="0"/>
        <v>郑燚（注册号：已过期）</v>
      </c>
      <c r="E11" s="2158" t="s">
        <v>2155</v>
      </c>
      <c r="F11" s="1215">
        <f ca="1">IF(G11&lt;B2,"已过期",2014110011)</f>
        <v>2014110011</v>
      </c>
      <c r="G11" s="2159">
        <v>49302</v>
      </c>
      <c r="H11" s="2160" t="str">
        <f t="shared" ca="1" si="1"/>
        <v>郑燚（注册号：2014110011）</v>
      </c>
    </row>
    <row r="12" spans="1:8" ht="24" customHeight="1">
      <c r="A12" s="1215" t="s">
        <v>2156</v>
      </c>
      <c r="B12" s="1215" t="str">
        <f ca="1">IF(C12&lt;B2,"已过期",1120040230)</f>
        <v>已过期</v>
      </c>
      <c r="C12" s="2161">
        <v>45937</v>
      </c>
      <c r="D12" s="2157" t="str">
        <f t="shared" ca="1" si="0"/>
        <v>苏海（注册号：已过期）</v>
      </c>
      <c r="E12" s="2158" t="s">
        <v>2156</v>
      </c>
      <c r="F12" s="1215">
        <f ca="1">IF(G12&lt;B2,"已过期",98030020)</f>
        <v>98030020</v>
      </c>
      <c r="G12" s="2159">
        <v>47118</v>
      </c>
      <c r="H12" s="2160" t="str">
        <f t="shared" ca="1" si="1"/>
        <v>苏海（注册号：98030020）</v>
      </c>
    </row>
    <row r="13" spans="1:8" ht="24" customHeight="1">
      <c r="A13" s="1215" t="s">
        <v>2157</v>
      </c>
      <c r="B13" s="1215" t="str">
        <f ca="1">IF(C13&lt;B2,"已过期",1120020033)</f>
        <v>已过期</v>
      </c>
      <c r="C13" s="2156">
        <v>45375</v>
      </c>
      <c r="D13" s="2157" t="str">
        <f t="shared" ca="1" si="0"/>
        <v>刘敬东（注册号：已过期）</v>
      </c>
      <c r="E13" s="2158" t="s">
        <v>2157</v>
      </c>
      <c r="F13" s="1215">
        <f ca="1">IF(G13&lt;B2,"已过期",2000110137)</f>
        <v>2000110137</v>
      </c>
      <c r="G13" s="2159">
        <v>46387</v>
      </c>
      <c r="H13" s="2160" t="str">
        <f t="shared" ca="1" si="1"/>
        <v>刘敬东（注册号：2000110137）</v>
      </c>
    </row>
    <row r="14" spans="1:8" ht="24" customHeight="1">
      <c r="A14" s="1215" t="s">
        <v>2158</v>
      </c>
      <c r="B14" s="1215" t="str">
        <f ca="1">IF(C14&lt;B2,"已过期",1119980106)</f>
        <v>已过期</v>
      </c>
      <c r="C14" s="2161">
        <v>44969</v>
      </c>
      <c r="D14" s="2157" t="str">
        <f t="shared" ca="1" si="0"/>
        <v>刘俊财（注册号：已过期）</v>
      </c>
      <c r="E14" s="2158" t="s">
        <v>2158</v>
      </c>
      <c r="F14" s="1215">
        <f ca="1">IF(G14&lt;B2,"已过期",96010063)</f>
        <v>96010063</v>
      </c>
      <c r="G14" s="2159">
        <v>47483</v>
      </c>
      <c r="H14" s="2160" t="str">
        <f t="shared" ca="1" si="1"/>
        <v>刘俊财（注册号：96010063）</v>
      </c>
    </row>
    <row r="15" spans="1:8" ht="24" customHeight="1">
      <c r="A15" s="1215" t="s">
        <v>2433</v>
      </c>
      <c r="B15" s="1215">
        <v>1120210056</v>
      </c>
      <c r="C15" s="2161">
        <v>45410</v>
      </c>
      <c r="D15" s="2157" t="str">
        <f t="shared" si="0"/>
        <v>宁小鳗（注册号：1120210056）</v>
      </c>
      <c r="E15" s="2158" t="s">
        <v>2159</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54"/>
      <c r="E18" s="3225" t="s">
        <v>2162</v>
      </c>
      <c r="F18" s="3224"/>
      <c r="G18" s="3224"/>
    </row>
    <row r="19" spans="1:8" s="2164" customFormat="1" ht="24" customHeight="1">
      <c r="A19" s="2163" t="s">
        <v>2163</v>
      </c>
      <c r="B19" s="1215" t="s">
        <v>2164</v>
      </c>
      <c r="C19" s="1215" t="s">
        <v>2143</v>
      </c>
      <c r="D19" s="2154"/>
      <c r="E19" s="2158" t="s">
        <v>2163</v>
      </c>
      <c r="F19" s="1215" t="s">
        <v>2164</v>
      </c>
      <c r="G19" s="1215" t="s">
        <v>2143</v>
      </c>
    </row>
    <row r="20" spans="1:8" s="2164" customFormat="1" ht="24" customHeight="1">
      <c r="A20" s="2165" t="s">
        <v>2165</v>
      </c>
      <c r="B20" s="2165" t="s">
        <v>2166</v>
      </c>
      <c r="C20" s="2159">
        <v>45898</v>
      </c>
      <c r="D20" s="2166"/>
      <c r="E20" s="2167" t="s">
        <v>2167</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175</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成本法地上商业</vt:lpstr>
      <vt:lpstr>成本法地上商业 (元)</vt:lpstr>
      <vt:lpstr>假设开发法</vt:lpstr>
      <vt:lpstr>收益法 (元)</vt:lpstr>
      <vt:lpstr>成本法 地下商业</vt:lpstr>
      <vt:lpstr>成本法地下商业 (元)</vt:lpstr>
      <vt:lpstr>收益法 (元) 地下商业</vt:lpstr>
      <vt:lpstr>成本法 地下办公</vt:lpstr>
      <vt:lpstr>成本法地下办公 (元)</vt:lpstr>
      <vt:lpstr>收益法 (元) 地下办公</vt:lpstr>
      <vt:lpstr>成本法机械车位</vt:lpstr>
      <vt:lpstr>成本法机械车位 (元) </vt:lpstr>
      <vt:lpstr>收益法 (元)机械车位</vt:lpstr>
      <vt:lpstr>成本法车位</vt:lpstr>
      <vt:lpstr>成本法车位 (元) </vt:lpstr>
      <vt:lpstr>收益法</vt:lpstr>
      <vt:lpstr>收益法 (元)车位</vt:lpstr>
      <vt:lpstr>成本法仓储</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 地下办公'!Print_Area</vt:lpstr>
      <vt:lpstr>'成本法 地下商业'!Print_Area</vt:lpstr>
      <vt:lpstr>成本法仓储!Print_Area</vt:lpstr>
      <vt:lpstr>'成本法车仓储 (元) '!Print_Area</vt:lpstr>
      <vt:lpstr>成本法车位!Print_Area</vt:lpstr>
      <vt:lpstr>'成本法车位 (元) '!Print_Area</vt:lpstr>
      <vt:lpstr>成本法地上商业!Print_Area</vt:lpstr>
      <vt:lpstr>'成本法地上商业 (元)'!Print_Area</vt:lpstr>
      <vt:lpstr>'成本法地下办公 (元)'!Print_Area</vt:lpstr>
      <vt:lpstr>'成本法地下商业 (元)'!Print_Area</vt:lpstr>
      <vt:lpstr>成本法机械车位!Print_Area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(元)'!Print_Area</vt:lpstr>
      <vt:lpstr>'收益法 (元) 地下办公'!Print_Area</vt:lpstr>
      <vt:lpstr>'收益法 (元) 地下商业'!Print_Area</vt:lpstr>
      <vt:lpstr>'收益法 (元)车位'!Print_Area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2025-11-03T08:23:25Z</dcterms:modified>
</cp:coreProperties>
</file>